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3.xml" ContentType="application/vnd.ms-excel.threaded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fileSharing readOnlyRecommended="1"/>
  <workbookPr filterPrivacy="1" codeName="ThisWorkbook"/>
  <xr:revisionPtr revIDLastSave="4" documentId="13_ncr:1_{4C1BD6E5-7163-4EFD-89C4-55C9815F9F76}" xr6:coauthVersionLast="47" xr6:coauthVersionMax="47" xr10:uidLastSave="{B6DE88F1-1A63-4E9D-9D8B-8A619DD29680}"/>
  <workbookProtection workbookAlgorithmName="SHA-512" workbookHashValue="5H7+D4j4d+2mMHzp9ORoDYketgi4UrGfEr2duaj8/jKPlt2ogyH0l/b6i1f1KTxCCWlbo2i7zp0j/hQ8TWDE2A==" workbookSaltValue="kwVSPDzRgRaJglBc0LxvnQ==" workbookSpinCount="100000" lockStructure="1"/>
  <bookViews>
    <workbookView xWindow="28680" yWindow="-1785" windowWidth="29040" windowHeight="17640" tabRatio="822"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D8" i="108" s="1"/>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tc={F57622C3-5A6B-4089-8CDA-519082F6B028}</author>
    <author>Author</author>
  </authors>
  <commentList>
    <comment ref="H11" authorId="0" shapeId="0" xr:uid="{F57622C3-5A6B-4089-8CDA-519082F6B028}">
      <text>
        <t xml:space="preserve">[Threaded comment]
Your version of Excel allows you to read this threaded comment; however, any edits to it will get removed if the file is opened in a newer version of Excel. Learn more: https://go.microsoft.com/fwlink/?linkid=870924
Comment:
    Updated following SES 01) Company raised from 0.311 to 0.00 </t>
      </text>
    </comment>
    <comment ref="AL11" authorId="1"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1"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tc={969CFABD-FE6A-4F9D-93FF-24077E2E1773}</author>
  </authors>
  <commentList>
    <comment ref="C11" authorId="0" shapeId="0" xr:uid="{969CFABD-FE6A-4F9D-93FF-24077E2E1773}">
      <text>
        <t>[Threaded comment]
Your version of Excel allows you to read this threaded comment; however, any edits to it will get removed if the file is opened in a newer version of Excel. Learn more: https://go.microsoft.com/fwlink/?linkid=870924
Comment:
    Updated following Ofwat query 01) Company raised from -2.086 to -2.242</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tc={D5073D9F-5C89-438A-B34D-23594C20B835}</author>
  </authors>
  <commentList>
    <comment ref="L23" authorId="0" shapeId="0" xr:uid="{D5073D9F-5C89-438A-B34D-23594C20B835}">
      <text>
        <t xml:space="preserve">[Threaded comment]
Your version of Excel allows you to read this threaded comment; however, any edits to it will get removed if the file is opened in a newer version of Excel. Learn more: https://go.microsoft.com/fwlink/?linkid=870924
Comment:
    Overridden performance payment to 0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<sst xmlns="http://schemas.openxmlformats.org/spreadsheetml/2006/main" count="63679" uniqueCount="5642">
  <si>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</si>
  <si>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</si>
  <si>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</si>
  <si>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</si>
  <si>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</si>
  <si>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</si>
  <si>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</si>
  <si>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</si>
  <si>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</si>
  <si>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</si>
  <si>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</si>
  <si>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</si>
  <si>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</si>
  <si>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</si>
  <si>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</si>
  <si>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</si>
  <si>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</si>
  <si>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</si>
  <si>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</si>
  <si>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</si>
  <si>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</si>
  <si>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</si>
  <si>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</si>
  <si>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</si>
  <si>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</si>
  <si>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</si>
  <si>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</si>
  <si>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</si>
  <si>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</si>
  <si>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</si>
  <si>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</si>
  <si>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</si>
  <si>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</si>
  <si>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</si>
  <si>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</si>
  <si>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</si>
  <si>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</si>
  <si>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</si>
  <si>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</si>
  <si>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</si>
  <si>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</si>
  <si>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</si>
  <si>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</si>
  <si>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</si>
  <si>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</si>
  <si>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</si>
  <si>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</si>
  <si>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</si>
  <si>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</si>
  <si>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</si>
  <si>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</si>
  <si>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</si>
  <si>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</si>
  <si>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</si>
  <si>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</si>
  <si>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</si>
  <si>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</si>
  <si>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</si>
  <si>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</si>
  <si>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</si>
  <si>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</si>
  <si>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</si>
  <si>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</si>
  <si>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</si>
  <si>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</si>
  <si>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</si>
  <si>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</si>
  <si>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</si>
  <si>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</si>
  <si>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</si>
  <si>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</si>
  <si>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</si>
  <si>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</si>
  <si>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</si>
  <si>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</si>
  <si>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</si>
  <si>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</si>
  <si>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</si>
  <si>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</si>
  <si>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</si>
  <si>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</si>
  <si>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</si>
  <si>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</si>
  <si>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</si>
  <si>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</si>
  <si>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</si>
  <si>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</si>
  <si>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</si>
  <si>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</si>
  <si>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</si>
  <si>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</si>
  <si>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</si>
  <si>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</si>
  <si>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</si>
  <si>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</si>
  <si>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</si>
  <si>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</si>
  <si>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</si>
  <si>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</si>
  <si>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</si>
  <si>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</si>
  <si>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</si>
  <si>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</si>
  <si>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</si>
  <si>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</si>
  <si>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</si>
  <si>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</si>
  <si>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</si>
  <si>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</si>
  <si>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</si>
  <si>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</si>
  <si>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</si>
  <si>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</si>
  <si>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</si>
  <si>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</si>
  <si>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</si>
  <si>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</si>
  <si>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</si>
  <si>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</si>
  <si>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</si>
  <si>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</si>
  <si>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</si>
  <si>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</si>
  <si>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</si>
  <si>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</si>
  <si>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</si>
  <si>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</si>
  <si>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</si>
  <si>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</si>
  <si>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</si>
  <si>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</si>
  <si>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</si>
  <si>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</si>
  <si>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</si>
  <si>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</si>
  <si>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</si>
  <si>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</si>
  <si>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</si>
  <si>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</si>
  <si>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</si>
  <si>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</si>
  <si>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</si>
  <si>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</si>
  <si>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</si>
  <si>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</si>
  <si>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</si>
  <si>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</si>
  <si>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</si>
  <si>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</si>
  <si>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</si>
  <si>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</si>
  <si>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</si>
  <si>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</si>
  <si>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</si>
  <si>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</si>
  <si>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</si>
  <si>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</si>
  <si>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</si>
  <si>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</si>
  <si>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</si>
  <si>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</si>
  <si>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</si>
  <si>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</si>
  <si>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</si>
  <si>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</si>
  <si>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</si>
  <si>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</si>
  <si>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</si>
  <si>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</si>
  <si>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</si>
  <si>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</si>
  <si>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</si>
  <si>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</si>
  <si>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</si>
  <si>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</si>
  <si>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</si>
  <si>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</si>
  <si>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</si>
  <si>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</si>
  <si>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</si>
  <si>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</si>
  <si>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</si>
  <si>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</si>
  <si>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</si>
  <si>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</si>
  <si>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</si>
  <si>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</si>
  <si>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</si>
  <si>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</si>
  <si>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</si>
  <si>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</si>
  <si>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</si>
  <si>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</si>
  <si>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</si>
  <si>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</si>
  <si>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</si>
  <si>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</si>
  <si>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</si>
  <si>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</si>
  <si>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</si>
  <si>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</si>
  <si>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</si>
  <si>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</si>
  <si>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</si>
  <si>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</si>
  <si>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</si>
  <si>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</si>
  <si>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</si>
  <si>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</si>
  <si>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</si>
  <si>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</si>
  <si>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</si>
  <si>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</si>
  <si>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</si>
  <si>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</si>
  <si>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</si>
  <si>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</si>
  <si>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</si>
  <si>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</si>
  <si>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</si>
  <si>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</si>
  <si>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</si>
  <si>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</si>
  <si>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</si>
  <si>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</si>
  <si>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</si>
  <si>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</si>
  <si>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</si>
  <si>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</si>
  <si>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</si>
  <si>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</si>
  <si>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</si>
  <si>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</si>
  <si>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</si>
  <si>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</si>
  <si>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</si>
  <si>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</si>
  <si>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</si>
  <si>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</si>
  <si>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</si>
  <si>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</si>
  <si>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</si>
  <si>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</si>
  <si>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</si>
  <si>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</si>
  <si>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</si>
  <si>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</si>
  <si>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</si>
  <si>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</si>
  <si>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</si>
  <si>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</si>
  <si>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</si>
  <si>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</si>
  <si>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</si>
  <si>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</si>
  <si>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</si>
  <si>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</si>
  <si>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</si>
  <si>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</si>
  <si>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</si>
  <si>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</si>
  <si>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</si>
  <si>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</si>
  <si>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</si>
  <si>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</si>
  <si>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</si>
  <si>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</si>
  <si>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</si>
  <si>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</si>
  <si>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</si>
  <si>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</si>
  <si>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</si>
  <si>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</si>
  <si>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</si>
  <si>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</si>
  <si>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</si>
  <si>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</si>
  <si>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</si>
  <si>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</si>
  <si>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</si>
  <si>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</si>
  <si>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</si>
  <si>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</si>
  <si>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</si>
  <si>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</si>
  <si>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</si>
  <si>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</si>
  <si>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</si>
  <si>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</si>
  <si>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</si>
  <si>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</si>
  <si>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</si>
  <si>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</si>
  <si>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</si>
  <si>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</si>
  <si>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</si>
  <si>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</si>
  <si>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</si>
  <si>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</si>
  <si>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</si>
  <si>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</si>
  <si>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</si>
  <si>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</si>
  <si>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</si>
  <si>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</si>
  <si>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</si>
  <si>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</si>
  <si>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</si>
  <si>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</si>
  <si>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</si>
  <si>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</si>
  <si>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</si>
  <si>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</si>
  <si>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</si>
  <si>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</si>
  <si>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</si>
  <si>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</si>
  <si>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</si>
  <si>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</si>
  <si>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</si>
  <si>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</si>
  <si>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</si>
  <si>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</si>
  <si>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</si>
  <si>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</si>
  <si>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</si>
  <si>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</si>
  <si>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</si>
  <si>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</si>
  <si>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</si>
  <si>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</si>
  <si>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</si>
  <si>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</si>
  <si>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</si>
  <si>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</si>
  <si>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</si>
  <si>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</si>
  <si>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</si>
  <si>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</si>
  <si>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</si>
  <si>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</si>
  <si>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</si>
  <si>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</si>
  <si>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</si>
  <si>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</si>
  <si>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</si>
  <si>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</si>
  <si>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</si>
  <si>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</si>
  <si>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</si>
  <si>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</si>
  <si>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</si>
  <si>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</si>
  <si>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</si>
  <si>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</si>
  <si>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</si>
  <si>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</si>
  <si>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</si>
  <si>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</si>
  <si>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</si>
  <si>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</si>
  <si>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</si>
  <si>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</si>
  <si>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</si>
  <si>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</si>
  <si>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</si>
  <si>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</si>
  <si>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</si>
  <si>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</si>
  <si>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</si>
  <si>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</si>
  <si>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</si>
  <si>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</si>
  <si>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</si>
  <si>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</si>
  <si>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</si>
  <si>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</si>
  <si>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</si>
  <si>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</si>
  <si>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</si>
  <si>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</si>
  <si>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</si>
  <si>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</si>
  <si>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</si>
  <si>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</si>
  <si>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</si>
  <si>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</si>
  <si>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</si>
  <si>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</si>
  <si>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</si>
  <si>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</si>
  <si>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</si>
  <si>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</si>
  <si>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</si>
  <si>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</si>
  <si>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</si>
  <si>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</si>
  <si>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</si>
  <si>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</si>
  <si>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</si>
  <si>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</si>
  <si>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</si>
  <si>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</si>
  <si>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</si>
  <si>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</si>
  <si>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</si>
  <si>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</si>
  <si>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</si>
  <si>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</si>
  <si>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</si>
  <si>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</si>
  <si>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</si>
  <si>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</si>
  <si>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</si>
  <si>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</si>
  <si>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</si>
  <si>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</si>
  <si>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</si>
  <si>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</si>
  <si>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</si>
  <si>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</si>
  <si>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</si>
  <si>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</si>
  <si>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</si>
  <si>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</si>
  <si>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</si>
  <si>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</si>
  <si>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</si>
  <si>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</si>
  <si>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</si>
  <si>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</si>
  <si>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</si>
  <si>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</si>
  <si>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</si>
  <si>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</si>
  <si>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</si>
  <si>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</si>
  <si>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</si>
  <si>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</si>
  <si>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</si>
  <si>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</si>
  <si>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</si>
  <si>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</si>
  <si>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</si>
  <si>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</si>
  <si>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</si>
  <si>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</si>
  <si>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</si>
  <si>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</si>
  <si>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</si>
  <si>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</si>
  <si>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</si>
  <si>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</si>
  <si>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</si>
  <si>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</si>
  <si>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</si>
  <si>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</si>
  <si>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</si>
  <si>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</si>
  <si>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</si>
  <si>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</si>
  <si>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</si>
  <si>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</si>
  <si>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</si>
  <si>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</si>
  <si>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</si>
  <si>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</si>
  <si>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</si>
  <si>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</si>
  <si>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</si>
  <si>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</si>
  <si>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</si>
  <si>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</si>
  <si>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</si>
  <si>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</si>
  <si>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</si>
  <si>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</si>
  <si>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</si>
  <si>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</si>
  <si>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</si>
  <si>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</si>
  <si>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</si>
  <si>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</si>
  <si>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</si>
  <si>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</si>
  <si>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</si>
  <si>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</si>
  <si>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</si>
  <si>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</si>
  <si>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</si>
  <si>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</si>
  <si>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</si>
  <si>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</si>
  <si>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</si>
  <si>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</si>
  <si>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</si>
  <si>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</si>
  <si>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</si>
  <si>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</si>
  <si>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</si>
  <si>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</si>
  <si>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</si>
  <si>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</si>
  <si>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</si>
  <si>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</si>
  <si>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</si>
  <si>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</si>
  <si>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</si>
  <si>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</si>
  <si>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</si>
  <si>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</si>
  <si>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</si>
  <si>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</si>
  <si>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</si>
  <si>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</si>
  <si>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</si>
  <si>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</si>
  <si>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</si>
  <si>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</si>
  <si>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</si>
  <si>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</si>
  <si>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</si>
  <si>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</si>
  <si>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</si>
  <si>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</si>
  <si>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</si>
  <si>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</si>
  <si>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</si>
  <si>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</si>
  <si>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</si>
  <si>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</si>
  <si>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</si>
  <si>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</si>
  <si>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</si>
  <si>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</si>
  <si>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</si>
  <si>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</si>
  <si>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</si>
  <si>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</si>
  <si>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</si>
  <si>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</si>
  <si>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</si>
  <si>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</si>
  <si>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</si>
  <si>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</si>
  <si>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</si>
  <si>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</si>
  <si>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</si>
  <si>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</si>
  <si>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</si>
  <si>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</si>
  <si>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</si>
  <si>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</si>
  <si>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</si>
  <si>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</si>
  <si>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</si>
  <si>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</si>
  <si>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</si>
  <si>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</si>
  <si>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</si>
  <si>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</si>
  <si>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</si>
  <si>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</si>
  <si>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</si>
  <si>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</si>
  <si>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</si>
  <si>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</si>
  <si>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</si>
  <si>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</si>
  <si>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</si>
  <si>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</si>
  <si>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</si>
  <si>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</si>
  <si>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</si>
  <si>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</si>
  <si>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</si>
  <si>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</si>
  <si>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</si>
  <si>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</si>
  <si>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</si>
  <si>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</si>
  <si>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</si>
  <si>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</si>
  <si>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</si>
  <si>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</si>
  <si>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</si>
  <si>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</si>
  <si>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</si>
  <si>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</si>
  <si>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</si>
  <si>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</si>
  <si>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</si>
  <si>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</si>
  <si>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</si>
  <si>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</si>
  <si>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</si>
  <si>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</si>
  <si>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</si>
  <si>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</si>
  <si>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</si>
  <si>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</si>
  <si>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</si>
  <si>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</si>
  <si>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</si>
  <si>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</si>
  <si>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</si>
  <si>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</si>
  <si>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</si>
  <si>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</si>
  <si>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</si>
  <si>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</si>
  <si>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</si>
  <si>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</si>
  <si>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</si>
  <si>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</si>
  <si>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</si>
  <si>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</si>
  <si>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</si>
  <si>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</si>
  <si>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</si>
  <si>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</si>
  <si>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</si>
  <si>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</si>
  <si>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</si>
  <si>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</si>
  <si>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</si>
  <si>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</si>
  <si>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</si>
  <si>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</si>
  <si>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</si>
  <si>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</si>
  <si>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</si>
  <si>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</si>
  <si>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</si>
  <si>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</si>
  <si>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</si>
  <si>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</si>
  <si>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</si>
  <si>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</si>
  <si>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</si>
  <si>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</si>
  <si>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</si>
  <si>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</si>
  <si>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</si>
  <si>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</si>
  <si>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</si>
  <si>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</si>
  <si>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</si>
  <si>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</si>
  <si>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</si>
  <si>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</si>
  <si>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</si>
  <si>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</si>
  <si>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</si>
  <si>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</si>
  <si>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</si>
  <si>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</si>
  <si>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</si>
  <si>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</si>
  <si>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</si>
  <si>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</si>
  <si>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</si>
  <si>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</si>
  <si>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</si>
  <si>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</si>
  <si>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</si>
  <si>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</si>
  <si>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</si>
  <si>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</si>
  <si>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</si>
  <si>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</si>
  <si>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</si>
  <si>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</si>
  <si>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</si>
  <si>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</si>
  <si>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</si>
  <si>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</si>
  <si>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</si>
  <si>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</si>
  <si>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</si>
  <si>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</si>
  <si>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</si>
  <si>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</si>
  <si>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</si>
  <si>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</si>
  <si>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</si>
  <si>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</si>
  <si>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</si>
  <si>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</si>
  <si>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</si>
  <si>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</si>
  <si>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</si>
  <si>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</si>
  <si>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</si>
  <si>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</si>
  <si>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</si>
  <si>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</si>
  <si>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</si>
  <si>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</si>
  <si>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</si>
  <si>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</si>
  <si>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</si>
  <si>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</si>
  <si>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</si>
  <si>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</si>
  <si>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</si>
  <si>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</si>
  <si>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</si>
  <si>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</si>
  <si>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</si>
  <si>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</si>
  <si>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</si>
  <si>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</si>
  <si>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</si>
  <si>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</si>
  <si>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</si>
  <si>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</si>
  <si>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</si>
  <si>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</si>
  <si>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</si>
  <si>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</si>
  <si>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</si>
  <si>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</si>
  <si>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</si>
  <si>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</si>
  <si>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</si>
  <si>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</si>
  <si>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</si>
  <si>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</si>
  <si>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</si>
  <si>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</si>
  <si>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</si>
  <si>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</si>
  <si>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</si>
  <si>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</si>
  <si>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</si>
  <si>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</si>
  <si>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</si>
  <si>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</si>
  <si>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</si>
  <si>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</si>
  <si>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</si>
  <si>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</si>
  <si>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</si>
  <si>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</si>
  <si>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</si>
  <si>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</si>
  <si>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</si>
  <si>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</si>
  <si>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</si>
  <si>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</si>
  <si>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</si>
  <si>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</si>
  <si>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</si>
  <si>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</si>
  <si>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</si>
  <si>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</si>
  <si>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</si>
  <si>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</si>
  <si>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</si>
  <si>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</si>
  <si>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</si>
  <si>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</si>
  <si>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</si>
  <si>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</si>
  <si>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</si>
  <si>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</si>
  <si>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</si>
  <si>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</si>
  <si>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</si>
  <si>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</si>
  <si>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</si>
  <si>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</si>
  <si>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</si>
  <si>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</si>
  <si>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</si>
  <si>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</si>
  <si>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</si>
  <si>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</si>
  <si>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</si>
  <si>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</si>
  <si>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</si>
  <si>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</si>
  <si>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</si>
  <si>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</si>
  <si>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</si>
  <si>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</si>
  <si>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</si>
  <si>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</si>
  <si>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</si>
  <si>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</si>
  <si>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</si>
  <si>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</si>
  <si>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</si>
  <si>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</si>
  <si>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</si>
  <si>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</si>
  <si>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</si>
  <si>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</si>
  <si>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</si>
  <si>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</si>
  <si>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</si>
  <si>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</si>
  <si>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</si>
  <si>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</si>
  <si>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</si>
  <si>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</si>
  <si>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</si>
  <si>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</si>
  <si>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</si>
  <si>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</si>
  <si>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</si>
  <si>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</si>
  <si>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</si>
  <si>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</si>
  <si>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</si>
  <si>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</si>
  <si>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</si>
  <si>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</si>
  <si>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</si>
  <si>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</si>
  <si>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</si>
  <si>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</si>
  <si>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</si>
  <si>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</si>
  <si>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</si>
  <si>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</si>
  <si>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</si>
  <si>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</si>
  <si>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</si>
  <si>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</si>
  <si>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</si>
  <si>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</si>
  <si>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</si>
  <si>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</si>
  <si>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</si>
  <si>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</si>
  <si>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</si>
  <si>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</si>
  <si>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</si>
  <si>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</si>
  <si>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</si>
  <si>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</si>
  <si>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</si>
  <si>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</si>
  <si>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</si>
  <si>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</si>
  <si>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</si>
  <si>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</si>
  <si>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</si>
  <si>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</si>
  <si>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</si>
  <si>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</si>
  <si>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</si>
  <si>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</si>
  <si>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</si>
  <si>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</si>
  <si>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</si>
  <si>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</si>
  <si>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</si>
  <si>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</si>
  <si>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</si>
  <si>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</si>
  <si>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</si>
  <si>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</si>
  <si>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</si>
  <si>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</si>
  <si>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</si>
  <si>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</si>
  <si>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</si>
  <si>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</si>
  <si>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</si>
  <si>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</si>
  <si>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</si>
  <si>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</si>
  <si>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</si>
  <si>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</si>
  <si>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</si>
  <si>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</si>
  <si>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</si>
  <si>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</si>
  <si>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</si>
  <si>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</si>
  <si>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</si>
  <si>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</si>
  <si>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</si>
  <si>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</si>
  <si>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</si>
  <si>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</si>
  <si>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</si>
  <si>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</si>
  <si>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</si>
  <si>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</si>
  <si>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</si>
  <si>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</si>
  <si>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</si>
  <si>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</si>
  <si>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</si>
  <si>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</si>
  <si>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</si>
  <si>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</si>
  <si>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</si>
  <si>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</si>
  <si>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</si>
  <si>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</si>
  <si>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</si>
  <si>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</si>
  <si>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</si>
  <si>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</si>
  <si>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</si>
  <si>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</si>
  <si>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</si>
  <si>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</si>
  <si>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</si>
  <si>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</si>
  <si>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</si>
  <si>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</si>
  <si>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</si>
  <si>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</si>
  <si>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</si>
  <si>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</si>
  <si>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</si>
  <si>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</si>
  <si>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</si>
  <si>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</si>
  <si>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</si>
  <si>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</si>
  <si>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</si>
  <si>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</si>
  <si>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</si>
  <si>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</si>
  <si>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</si>
  <si>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</si>
  <si>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</si>
  <si>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</si>
  <si>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</si>
  <si>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</si>
  <si>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</si>
  <si>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</si>
  <si>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</si>
  <si>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</si>
  <si>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</si>
  <si>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</si>
  <si>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</si>
  <si>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</si>
  <si>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</si>
  <si>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</si>
  <si>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</si>
  <si>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</si>
  <si>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</si>
  <si>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</si>
  <si>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</si>
  <si>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</si>
  <si>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</si>
  <si>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</si>
  <si>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</si>
  <si>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</si>
  <si>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</si>
  <si>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</si>
  <si>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</si>
  <si>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</si>
  <si>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</si>
  <si>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</si>
  <si>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</si>
  <si>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</si>
  <si>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</si>
  <si>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</si>
  <si>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</si>
  <si>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</si>
  <si>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</si>
  <si>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</si>
  <si>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</si>
  <si>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</si>
  <si>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</si>
  <si>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</si>
  <si>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</si>
  <si>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</si>
  <si>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</si>
  <si>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</si>
  <si>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</si>
  <si>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</si>
  <si>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</si>
  <si>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</si>
  <si>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</si>
  <si>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</si>
  <si>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</si>
  <si>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</si>
  <si>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</si>
  <si>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</si>
  <si>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</si>
  <si>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</si>
  <si>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</si>
  <si>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</si>
  <si>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</si>
  <si>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</si>
  <si>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</si>
  <si>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</si>
  <si>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</si>
  <si>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</si>
  <si>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</si>
  <si>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</si>
  <si>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</si>
  <si>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</si>
  <si>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</si>
  <si>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</si>
  <si>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</si>
  <si>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</si>
  <si>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</si>
  <si>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</si>
  <si>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</si>
  <si>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</si>
  <si>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</si>
  <si>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</si>
  <si>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</si>
  <si>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</si>
  <si>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</si>
  <si>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</si>
  <si>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</si>
  <si>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</si>
  <si>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</si>
  <si>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</si>
  <si>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</si>
  <si>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</si>
  <si>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</si>
  <si>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</si>
  <si>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</si>
  <si>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</si>
  <si>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</si>
  <si>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</si>
  <si>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</si>
  <si>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</si>
  <si>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</si>
  <si>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</si>
  <si>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</si>
  <si>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</si>
  <si>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</si>
  <si>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</si>
  <si>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</si>
  <si>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</si>
  <si>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</si>
  <si>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</si>
  <si>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</si>
  <si>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</si>
  <si>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</si>
  <si>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</si>
  <si>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</si>
  <si>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</si>
  <si>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</si>
  <si>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</si>
  <si>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</si>
  <si>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</si>
  <si>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</si>
  <si>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</si>
  <si>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</si>
  <si>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</si>
  <si>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</si>
  <si>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</si>
  <si>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</si>
  <si>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</si>
  <si>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</si>
  <si>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</si>
  <si>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</si>
  <si>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</si>
  <si>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</si>
  <si>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</si>
  <si>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</si>
  <si>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</si>
  <si>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</si>
  <si>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</si>
  <si>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</si>
  <si>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</si>
  <si>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</si>
  <si>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</si>
  <si>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</si>
  <si>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</si>
  <si>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</si>
  <si>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</si>
  <si>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</si>
  <si>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</si>
  <si>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</si>
  <si>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</si>
  <si>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</si>
  <si>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</si>
  <si>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</si>
  <si>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</si>
  <si>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</si>
  <si>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</si>
  <si>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</si>
  <si>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</si>
  <si>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</si>
  <si>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</si>
  <si>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</si>
  <si>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</si>
  <si>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</si>
  <si>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</si>
  <si>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</si>
  <si>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</si>
  <si>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</si>
  <si>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</si>
  <si>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</si>
  <si>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</si>
  <si>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</si>
  <si>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</si>
  <si>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</si>
  <si>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</si>
  <si>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</si>
  <si>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</si>
  <si>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</si>
  <si>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</si>
  <si>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</si>
  <si>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</si>
  <si>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</si>
  <si>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</si>
  <si>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</si>
  <si>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</si>
  <si>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</si>
  <si>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</si>
  <si>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</si>
  <si>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</si>
  <si>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</si>
  <si>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</si>
  <si>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</si>
  <si>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</si>
  <si>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</si>
  <si>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</si>
  <si>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</si>
  <si>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</si>
  <si>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</si>
  <si>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</si>
  <si>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</si>
  <si>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</si>
  <si>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</si>
  <si>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</si>
  <si>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</si>
  <si>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</si>
  <si>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</si>
  <si>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</si>
  <si>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</si>
  <si>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</si>
  <si>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</si>
  <si>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</si>
  <si>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</si>
  <si>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</si>
  <si>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</si>
  <si>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</si>
  <si>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</si>
  <si>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</si>
  <si>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</si>
  <si>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</si>
  <si>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</si>
  <si>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</si>
  <si>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</si>
  <si>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</si>
  <si>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</si>
  <si>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</si>
  <si>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</si>
  <si>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</si>
  <si>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</si>
  <si>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</si>
  <si>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</si>
  <si>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</si>
  <si>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</si>
  <si>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</si>
  <si>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</si>
  <si>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</si>
  <si>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</si>
  <si>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</si>
  <si>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</si>
  <si>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</si>
  <si>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</si>
  <si>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</si>
  <si>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</si>
  <si>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</si>
  <si>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</si>
  <si>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</si>
  <si>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</si>
  <si>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</si>
  <si>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</si>
  <si>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</si>
  <si>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</si>
  <si>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</si>
  <si>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</si>
  <si>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</si>
  <si>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</si>
  <si>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</si>
  <si>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</si>
  <si>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</si>
  <si>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</si>
  <si>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</si>
  <si>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</si>
  <si>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</si>
  <si>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</si>
  <si>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</si>
  <si>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</si>
  <si>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</si>
  <si>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</si>
  <si>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</si>
  <si>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</si>
  <si>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</si>
  <si>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</si>
  <si>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</si>
  <si>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</si>
  <si>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</si>
  <si>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</si>
  <si>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</si>
  <si>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</si>
  <si>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</si>
  <si>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</si>
  <si>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</si>
  <si>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</si>
  <si>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</si>
  <si>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</si>
  <si>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</si>
  <si>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</si>
  <si>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</si>
  <si>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</si>
  <si>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</si>
  <si>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</si>
  <si>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</si>
  <si>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</si>
  <si>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</si>
  <si>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</si>
  <si>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</si>
  <si>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</si>
  <si>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</si>
  <si>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</si>
  <si>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</si>
  <si>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</si>
  <si>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</si>
  <si>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</si>
  <si>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</si>
  <si>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</si>
  <si>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</si>
  <si>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</si>
  <si>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</si>
  <si>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</si>
  <si>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</si>
  <si>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</si>
  <si>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</si>
  <si>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</si>
  <si>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</si>
  <si>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</si>
  <si>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</si>
  <si>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</si>
  <si>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</si>
  <si>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</si>
  <si>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</si>
  <si>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</si>
  <si>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</si>
  <si>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</si>
  <si>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</si>
  <si>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</si>
  <si>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</si>
  <si>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</si>
  <si>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</si>
  <si>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</si>
  <si>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</si>
  <si>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</si>
  <si>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</si>
  <si>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</si>
  <si>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</si>
  <si>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</si>
  <si>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</si>
  <si>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</si>
  <si>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</si>
  <si>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</si>
  <si>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</si>
  <si>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</si>
  <si>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</si>
  <si>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</si>
  <si>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</si>
  <si>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</si>
  <si>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</si>
  <si>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</si>
  <si>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</si>
  <si>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</si>
  <si>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</si>
  <si>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</si>
  <si>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</si>
  <si>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</si>
  <si>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</si>
  <si>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</si>
  <si>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</si>
  <si>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</si>
  <si>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</si>
  <si>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</si>
  <si>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</si>
  <si>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</si>
  <si>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</si>
  <si>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</si>
  <si>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</si>
  <si>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</si>
  <si>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</si>
  <si>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</si>
  <si>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</si>
  <si>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</si>
  <si>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</si>
  <si>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</si>
  <si>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</si>
  <si>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</si>
  <si>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</si>
  <si>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</si>
  <si>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</si>
  <si>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</si>
  <si>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</si>
  <si>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</si>
  <si>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</si>
  <si>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</si>
  <si>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</si>
  <si>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</si>
  <si>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</si>
  <si>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</si>
  <si>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</si>
  <si>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</si>
  <si>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</si>
  <si>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</si>
  <si>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</si>
  <si>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</si>
  <si>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</si>
  <si>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</si>
  <si>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</si>
  <si>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</si>
  <si>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</si>
  <si>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</si>
  <si>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</si>
  <si>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</si>
  <si>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</si>
  <si>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</si>
  <si>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</si>
  <si>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</si>
  <si>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</si>
  <si>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</si>
  <si>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</si>
  <si>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</si>
  <si>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</si>
  <si>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</si>
  <si>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</si>
  <si>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</si>
  <si>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</si>
  <si>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</si>
  <si>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</si>
  <si>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</si>
  <si>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</si>
  <si>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</si>
  <si>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</si>
  <si>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</si>
  <si>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</si>
  <si>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</si>
  <si>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</si>
  <si>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</si>
  <si>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</si>
  <si>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</si>
  <si>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</si>
  <si>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</si>
  <si>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</si>
  <si>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</si>
  <si>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</si>
  <si>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</si>
  <si>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</si>
  <si>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</si>
  <si>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</si>
  <si>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</si>
  <si>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</si>
  <si>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</si>
  <si>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</si>
  <si>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</si>
  <si>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</si>
  <si>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</si>
  <si>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</si>
  <si>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</si>
  <si>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</si>
  <si>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</si>
  <si>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</si>
  <si>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</si>
  <si>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</si>
  <si>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</si>
  <si>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</si>
  <si>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</si>
  <si>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</si>
  <si>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</si>
  <si>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</si>
  <si>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</si>
  <si>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</si>
  <si>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</si>
  <si>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</si>
  <si>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</si>
  <si>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</si>
  <si>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</si>
  <si>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</si>
  <si>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</si>
  <si>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</si>
  <si>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</si>
  <si>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</si>
  <si>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</si>
  <si>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</si>
  <si>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</si>
  <si>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</si>
  <si>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</si>
  <si>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</si>
  <si>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</si>
  <si>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</si>
  <si>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</si>
  <si>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</si>
  <si>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</si>
  <si>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</si>
  <si>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</si>
  <si>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</si>
  <si>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</si>
  <si>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</si>
  <si>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</si>
  <si>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</si>
  <si>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</si>
  <si>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</si>
  <si>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</si>
  <si>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</si>
  <si>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</si>
  <si>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</si>
  <si>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</si>
  <si>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</si>
  <si>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</si>
  <si>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</si>
  <si>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</si>
  <si>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</si>
  <si>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</si>
  <si>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</si>
  <si>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</si>
  <si>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</si>
  <si>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</si>
  <si>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</si>
  <si>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</si>
  <si>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</si>
  <si>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</si>
  <si>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</si>
  <si>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</si>
  <si>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</si>
  <si>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</si>
  <si>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</si>
  <si>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</si>
  <si>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</si>
  <si>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</si>
  <si>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</si>
  <si>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</si>
  <si>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</si>
  <si>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</si>
  <si>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</si>
  <si>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</si>
  <si>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</si>
  <si>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</si>
  <si>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</si>
  <si>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</si>
  <si>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</si>
  <si>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</si>
  <si>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</si>
  <si>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</si>
  <si>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</si>
  <si>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</si>
  <si>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</si>
  <si>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</si>
  <si>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</si>
  <si>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</si>
  <si>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</si>
  <si>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</si>
  <si>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</si>
  <si>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</si>
  <si>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</si>
  <si>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</si>
  <si>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</si>
  <si>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</si>
  <si>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</si>
  <si>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</si>
  <si>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</si>
  <si>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</si>
  <si>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</si>
  <si>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</si>
  <si>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</si>
  <si>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</si>
  <si>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</si>
  <si>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</si>
  <si>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</si>
  <si>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</si>
  <si>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</si>
  <si>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</si>
  <si>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</si>
  <si>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</si>
  <si>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</si>
  <si>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</si>
  <si>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</si>
  <si>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</si>
  <si>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</si>
  <si>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</si>
  <si>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</si>
  <si>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</si>
  <si>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</si>
  <si>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</si>
  <si>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</si>
  <si>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</si>
  <si>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</si>
  <si>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</si>
  <si>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</si>
  <si>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</si>
  <si>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</si>
  <si>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</si>
  <si>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</si>
  <si>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</si>
  <si>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</si>
  <si>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</si>
  <si>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</si>
  <si>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</si>
  <si>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</si>
  <si>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</si>
  <si>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</si>
  <si>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</si>
  <si>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</si>
  <si>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</si>
  <si>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</si>
  <si>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</si>
  <si>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</si>
  <si>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</si>
  <si>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</si>
  <si>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</si>
  <si>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</si>
  <si>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</si>
  <si>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</si>
  <si>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</si>
  <si>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</si>
  <si>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</si>
  <si>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</si>
  <si>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</si>
  <si>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</si>
  <si>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</si>
  <si>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</si>
  <si>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</si>
  <si>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</si>
  <si>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</si>
  <si>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</si>
  <si>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</si>
  <si>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</si>
  <si>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</si>
  <si>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</si>
  <si>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</si>
  <si>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</si>
  <si>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</si>
  <si>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</si>
  <si>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</si>
  <si>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</si>
  <si>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</si>
  <si>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</si>
  <si>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</si>
  <si>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</si>
  <si>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</si>
  <si>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</si>
  <si>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</si>
  <si>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</si>
  <si>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</si>
  <si>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</si>
  <si>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</si>
  <si>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</si>
  <si>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</si>
  <si>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</si>
  <si>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</si>
  <si>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</si>
  <si>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</si>
  <si>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</si>
  <si>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</si>
  <si>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</si>
  <si>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</si>
  <si>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</si>
  <si>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</si>
  <si>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</si>
  <si>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</si>
  <si>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</si>
  <si>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</si>
  <si>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</si>
  <si>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</si>
  <si>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</si>
  <si>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</si>
  <si>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</si>
  <si>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</si>
  <si>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</si>
  <si>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</si>
  <si>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</si>
  <si>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</si>
  <si>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</si>
  <si>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</si>
  <si>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</si>
  <si>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</si>
  <si>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</si>
  <si>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</si>
  <si>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</si>
  <si>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</si>
  <si>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</si>
  <si>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</si>
  <si>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</si>
  <si>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</si>
  <si>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</si>
  <si>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</si>
  <si>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</si>
  <si>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</si>
  <si>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</si>
  <si>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</si>
  <si>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</si>
  <si>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</si>
  <si>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</si>
  <si>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</si>
  <si>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</si>
  <si>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</si>
  <si>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</si>
  <si>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</si>
  <si>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</si>
  <si>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</si>
  <si>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</si>
  <si>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</si>
  <si>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</si>
  <si>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</si>
  <si>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</si>
  <si>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</si>
  <si>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</si>
  <si>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</si>
  <si>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</si>
  <si>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</si>
  <si>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</si>
  <si>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</si>
  <si>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</si>
  <si>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</si>
  <si>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</si>
  <si>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</si>
  <si>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</si>
  <si>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</si>
  <si>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</si>
  <si>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</si>
  <si>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</si>
  <si>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</si>
  <si>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</si>
  <si>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</si>
  <si>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</si>
  <si>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</si>
  <si>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</si>
  <si>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</si>
  <si>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</si>
  <si>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</si>
  <si>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</si>
  <si>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</si>
  <si>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</si>
  <si>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</si>
  <si>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</si>
  <si>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</si>
  <si>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</si>
  <si>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</si>
  <si>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</si>
  <si>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</si>
  <si>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</si>
  <si>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</si>
  <si>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</si>
  <si>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</si>
  <si>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</si>
  <si>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</si>
  <si>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</si>
  <si>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</si>
  <si>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</si>
  <si>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</si>
  <si>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</si>
  <si>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</si>
  <si>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</si>
  <si>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</si>
  <si>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</si>
  <si>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</si>
  <si>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</si>
  <si>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</si>
  <si>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</si>
  <si>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</si>
  <si>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</si>
  <si>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</si>
  <si>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</si>
  <si>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</si>
  <si>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</si>
  <si>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</si>
  <si>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</si>
  <si>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</si>
  <si>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</si>
  <si>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</si>
  <si>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</si>
  <si>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</si>
  <si>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</si>
  <si>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</si>
  <si>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</si>
  <si>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</si>
  <si>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</si>
  <si>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</si>
  <si>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</si>
  <si>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</si>
  <si>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</si>
  <si>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</si>
  <si>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</si>
  <si>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</si>
  <si>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</si>
  <si>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</si>
  <si>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</si>
  <si>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</si>
  <si>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</si>
  <si>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</si>
  <si>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</si>
  <si>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</si>
  <si>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</si>
  <si>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</si>
  <si>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</si>
  <si>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</si>
  <si>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</si>
  <si>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</si>
  <si>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</si>
  <si>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</si>
  <si>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</si>
  <si>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</si>
  <si>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</si>
  <si>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</si>
  <si>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</si>
  <si>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</si>
  <si>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</si>
  <si>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</si>
  <si>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</si>
  <si>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</si>
  <si>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</si>
  <si>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</si>
  <si>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</si>
  <si>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</si>
  <si>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</si>
  <si>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</si>
  <si>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</si>
  <si>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</si>
  <si>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</si>
  <si>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</si>
  <si>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</si>
  <si>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</si>
  <si>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</si>
  <si>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</si>
  <si>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</si>
  <si>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</si>
  <si>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</si>
  <si>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</si>
  <si>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</si>
  <si>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</si>
  <si>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</si>
  <si>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</si>
  <si>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</si>
  <si>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</si>
  <si>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</si>
  <si>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</si>
  <si>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</si>
  <si>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</si>
  <si>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</si>
  <si>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</si>
  <si>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</si>
  <si>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</si>
  <si>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</si>
  <si>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</si>
  <si>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</si>
  <si>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</si>
  <si>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</si>
  <si>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</si>
  <si>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</si>
  <si>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</si>
  <si>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</si>
  <si>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</si>
  <si>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</si>
  <si>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</si>
  <si>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</si>
  <si>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</si>
  <si>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</si>
  <si>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</si>
  <si>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</si>
  <si>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</si>
  <si>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</si>
  <si>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</si>
  <si>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</si>
  <si>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</si>
  <si>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</si>
  <si>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</si>
  <si>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</si>
  <si>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</si>
  <si>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</si>
  <si>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</si>
  <si>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</si>
  <si>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</si>
  <si>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</si>
  <si>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</si>
  <si>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</si>
  <si>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</si>
  <si>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</si>
  <si>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</si>
  <si>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</si>
  <si>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</si>
  <si>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</si>
  <si>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</si>
  <si>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</si>
  <si>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</si>
  <si>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</si>
  <si>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</si>
  <si>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</si>
  <si>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</si>
  <si>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</si>
  <si>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</si>
  <si>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</si>
  <si>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</si>
  <si>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</si>
  <si>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</si>
  <si>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</si>
  <si>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</si>
  <si>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</si>
  <si>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</si>
  <si>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</si>
  <si>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</si>
  <si>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</si>
  <si>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</si>
  <si>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</si>
  <si>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</si>
  <si>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</si>
  <si>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</si>
  <si>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</si>
  <si>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</si>
  <si>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</si>
  <si>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</si>
  <si>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</si>
  <si>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</si>
  <si>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</si>
  <si>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</si>
  <si>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</si>
  <si>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</si>
  <si>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</si>
  <si>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</si>
  <si>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</si>
  <si>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</si>
  <si>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</si>
  <si>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</si>
  <si>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</si>
  <si>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</si>
  <si>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</si>
  <si>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</si>
  <si>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</si>
  <si>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</si>
  <si>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</si>
  <si>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</si>
  <si>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</si>
  <si>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</si>
  <si>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</si>
  <si>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</si>
  <si>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</si>
  <si>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</si>
  <si>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</si>
  <si>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</si>
  <si>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</si>
  <si>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</si>
  <si>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</si>
  <si>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</si>
  <si>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</si>
  <si>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</si>
  <si>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</si>
  <si>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</si>
  <si>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</si>
  <si>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</si>
  <si>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</si>
  <si>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</si>
  <si>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</si>
  <si>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</si>
  <si>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</si>
  <si>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</si>
  <si>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</si>
  <si>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</si>
  <si>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</si>
  <si>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</si>
  <si>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</si>
  <si>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</si>
  <si>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</si>
  <si>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</si>
  <si>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</si>
  <si>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</si>
  <si>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</si>
  <si>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</si>
  <si>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</si>
  <si>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</si>
  <si>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</si>
  <si>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</si>
  <si>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</si>
  <si>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</si>
  <si>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</si>
  <si>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</si>
  <si>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</si>
  <si>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</si>
  <si>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</si>
  <si>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</si>
  <si>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</si>
  <si>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</si>
  <si>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</si>
  <si>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</si>
  <si>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</si>
  <si>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</si>
  <si>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</si>
  <si>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</si>
  <si>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</si>
  <si>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</si>
  <si>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</si>
  <si>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</si>
  <si>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</si>
  <si>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</si>
  <si>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</si>
  <si>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</si>
  <si>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</si>
  <si>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</si>
  <si>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</si>
  <si>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</si>
  <si>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</si>
  <si>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</si>
  <si>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</si>
  <si>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</si>
  <si>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</si>
  <si>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</si>
  <si>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</si>
  <si>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</si>
  <si>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</si>
  <si>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</si>
  <si>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</si>
  <si>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</si>
  <si>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</si>
  <si>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</si>
  <si>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</si>
  <si>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</si>
  <si>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</si>
  <si>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</si>
  <si>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</si>
  <si>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</si>
  <si>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</si>
  <si>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</si>
  <si>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</si>
  <si>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</si>
  <si>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</si>
  <si>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</si>
  <si>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</si>
  <si>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</si>
  <si>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</si>
  <si>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</si>
  <si>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</si>
  <si>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</si>
  <si>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</si>
  <si>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</si>
  <si>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</si>
  <si>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</si>
  <si>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</si>
  <si>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</si>
  <si>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</si>
  <si>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</si>
  <si>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</si>
  <si>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</si>
  <si>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</si>
  <si>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</si>
  <si>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</si>
  <si>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</si>
  <si>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</si>
  <si>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</si>
  <si>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</si>
  <si>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</si>
  <si>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</si>
  <si>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</si>
  <si>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</si>
  <si>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</si>
  <si>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</si>
  <si>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</si>
  <si>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</si>
  <si>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</si>
  <si>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</si>
  <si>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</si>
  <si>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</si>
  <si>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</si>
  <si>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</si>
  <si>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</si>
  <si>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</si>
  <si>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</si>
  <si>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</si>
  <si>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</si>
  <si>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</si>
  <si>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</si>
  <si>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</si>
  <si>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</si>
  <si>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</si>
  <si>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</si>
  <si>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</si>
  <si>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</si>
  <si>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</si>
  <si>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</si>
  <si>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</si>
  <si>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</si>
  <si>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</si>
  <si>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</si>
  <si>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</si>
  <si>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</si>
  <si>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</si>
  <si>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</si>
  <si>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</si>
  <si>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</si>
  <si>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</si>
  <si>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</si>
  <si>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</si>
  <si>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</si>
  <si>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</si>
  <si>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</si>
  <si>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</si>
  <si>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</si>
  <si>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</si>
  <si>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</si>
  <si>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</si>
  <si>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</si>
  <si>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</si>
  <si>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</si>
  <si>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</si>
  <si>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</si>
  <si>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</si>
  <si>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</si>
  <si>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</si>
  <si>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</si>
  <si>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</si>
  <si>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</si>
  <si>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</si>
  <si>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</si>
  <si>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</si>
  <si>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</si>
  <si>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</si>
  <si>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</si>
  <si>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</si>
  <si>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</si>
  <si>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</si>
  <si>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</si>
  <si>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</si>
  <si>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</si>
  <si>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</si>
  <si>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</si>
  <si>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</si>
  <si>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</si>
  <si>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</si>
  <si>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</si>
  <si>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</si>
  <si>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</si>
  <si>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</si>
  <si>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</si>
  <si>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</si>
  <si>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</si>
  <si>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</si>
  <si>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</si>
  <si>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</si>
  <si>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</si>
  <si>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</si>
  <si>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</si>
  <si>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</si>
  <si>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</si>
  <si>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</si>
  <si>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</si>
  <si>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</si>
  <si>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</si>
  <si>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</si>
  <si>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</si>
  <si>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</si>
  <si>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</si>
  <si>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</si>
  <si>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</si>
  <si>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</si>
  <si>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</si>
  <si>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</si>
  <si>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</si>
  <si>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</si>
  <si>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</si>
  <si>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</si>
  <si>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</si>
  <si>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</si>
  <si>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</si>
  <si>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</si>
  <si>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</si>
  <si>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</si>
  <si>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</si>
  <si>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</si>
  <si>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</si>
  <si>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</si>
  <si>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</si>
  <si>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</si>
  <si>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</si>
  <si>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</si>
  <si>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</si>
  <si>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</si>
  <si>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</si>
  <si>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</si>
  <si>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</si>
  <si>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</si>
  <si>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</si>
  <si>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</si>
  <si>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</si>
  <si>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</si>
  <si>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</si>
  <si>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</si>
  <si>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</si>
  <si>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</si>
  <si>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</si>
  <si>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</si>
  <si>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</si>
  <si>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</si>
  <si>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</si>
  <si>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</si>
  <si>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</si>
  <si>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</si>
  <si>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</si>
  <si>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</si>
  <si>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</si>
  <si>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</si>
  <si>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</si>
  <si>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</si>
  <si>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</si>
  <si>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</si>
  <si>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</si>
  <si>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</si>
  <si>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</si>
  <si>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</si>
  <si>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</si>
  <si>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</si>
  <si>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</si>
  <si>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</si>
  <si>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</si>
  <si>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</si>
  <si>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</si>
  <si>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</si>
  <si>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</si>
  <si>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</si>
  <si>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</si>
  <si>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</si>
  <si>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</si>
  <si>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</si>
  <si>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</si>
  <si>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</si>
  <si>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</si>
  <si>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</si>
  <si>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</si>
  <si>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</si>
  <si>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</si>
  <si>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</si>
  <si>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</si>
  <si>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</si>
  <si>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</si>
  <si>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</si>
  <si>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</si>
  <si>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</si>
  <si>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</si>
  <si>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</si>
  <si>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</si>
  <si>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</si>
  <si>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</si>
  <si>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</si>
  <si>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</si>
  <si>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</si>
  <si>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</si>
  <si>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</si>
  <si>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</si>
  <si>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</si>
  <si>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</si>
  <si>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</si>
  <si>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</si>
  <si>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</si>
  <si>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</si>
  <si>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</si>
  <si>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</si>
  <si>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</si>
  <si>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</si>
  <si>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</si>
  <si>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</si>
  <si>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</si>
  <si>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</si>
  <si>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</si>
  <si>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</si>
  <si>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</si>
  <si>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</si>
  <si>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</si>
  <si>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</si>
  <si>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</si>
  <si>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</si>
  <si>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</si>
  <si>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</si>
  <si>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</si>
  <si>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</si>
  <si>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</si>
  <si>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</si>
  <si>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</si>
  <si>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</si>
  <si>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</si>
  <si>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</si>
  <si>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</si>
  <si>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</si>
  <si>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</si>
  <si>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</si>
  <si>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</si>
  <si>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</si>
  <si>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</si>
  <si>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</si>
  <si>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</si>
  <si>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</si>
  <si>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</si>
  <si>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</si>
  <si>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</si>
  <si>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</si>
  <si>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</si>
  <si>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</si>
  <si>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</si>
  <si>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</si>
  <si>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</si>
  <si>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</si>
  <si>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</si>
  <si>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</si>
  <si>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</si>
  <si>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</si>
  <si>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</si>
  <si>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</si>
  <si>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</si>
  <si>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</si>
  <si>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</si>
  <si>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</si>
  <si>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</si>
  <si>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</si>
  <si>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</si>
  <si>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</si>
  <si>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</si>
  <si>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</si>
  <si>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</si>
  <si>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</si>
  <si>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</si>
  <si>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</si>
  <si>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</si>
  <si>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</si>
  <si>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</si>
  <si>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</si>
  <si>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</si>
  <si>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</si>
  <si>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</si>
  <si>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</si>
  <si>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</si>
  <si>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</si>
  <si>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</si>
  <si>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</si>
  <si>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</si>
  <si>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</si>
  <si>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</si>
  <si>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</si>
  <si>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</si>
  <si>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</si>
  <si>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</si>
  <si>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</si>
  <si>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</si>
  <si>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</si>
  <si>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</si>
  <si>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</si>
  <si>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</si>
  <si>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</si>
  <si>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</si>
  <si>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</si>
  <si>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</si>
  <si>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</si>
  <si>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</si>
  <si>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</si>
  <si>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</si>
  <si>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</si>
  <si>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</si>
  <si>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</si>
  <si>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</si>
  <si>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</si>
  <si>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</si>
  <si>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</si>
  <si>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</si>
  <si>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</si>
  <si>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</si>
  <si>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</si>
  <si>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</si>
  <si>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</si>
  <si>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</si>
  <si>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</si>
  <si>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</si>
  <si>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</si>
  <si>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</si>
  <si>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</si>
  <si>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</si>
  <si>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</si>
  <si>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</si>
  <si>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</si>
  <si>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</si>
  <si>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</si>
  <si>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</si>
  <si>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</si>
  <si>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</si>
  <si>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</si>
  <si>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</si>
  <si>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</si>
  <si>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</si>
  <si>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</si>
  <si>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</si>
  <si>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</si>
  <si>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</si>
  <si>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</si>
  <si>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</si>
  <si>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</si>
  <si>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</si>
  <si>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</si>
  <si>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</si>
  <si>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</si>
  <si>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</si>
  <si>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</si>
  <si>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</si>
  <si>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</si>
  <si>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</si>
  <si>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</si>
  <si>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</si>
  <si>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</si>
  <si>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</si>
  <si>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</si>
  <si>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</si>
  <si>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</si>
  <si>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</si>
  <si>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</si>
  <si>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</si>
  <si>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</si>
  <si>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</si>
  <si>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</si>
  <si>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</si>
  <si>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</si>
  <si>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</si>
  <si>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</si>
  <si>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</si>
  <si>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</si>
  <si>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</si>
  <si>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</si>
  <si>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</si>
  <si>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</si>
  <si>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</si>
  <si>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</si>
  <si>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</si>
  <si>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</si>
  <si>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</si>
  <si>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</si>
  <si>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</si>
  <si>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</si>
  <si>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</si>
  <si>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</si>
  <si>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</si>
  <si>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</si>
  <si>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</si>
  <si>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</si>
  <si>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</si>
  <si>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</si>
  <si>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</si>
  <si>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</si>
  <si>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</si>
  <si>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</si>
  <si>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</si>
  <si>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</si>
  <si>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</si>
  <si>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</si>
  <si>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</si>
  <si>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</si>
  <si>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</si>
  <si>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</si>
  <si>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</si>
  <si>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</si>
  <si>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</si>
  <si>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</si>
  <si>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</si>
  <si>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</si>
  <si>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</si>
  <si>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</si>
  <si>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</si>
  <si>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</si>
  <si>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</si>
  <si>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</si>
  <si>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</si>
  <si>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</si>
  <si>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</si>
  <si>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</si>
  <si>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</si>
  <si>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</si>
  <si>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</si>
  <si>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</si>
  <si>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</si>
  <si>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</si>
  <si>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</si>
  <si>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</si>
  <si>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</si>
  <si>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</si>
  <si>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</si>
  <si>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</si>
  <si>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</si>
  <si>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</si>
  <si>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</si>
  <si>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</si>
  <si>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</si>
  <si>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</si>
  <si>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</si>
  <si>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</si>
  <si>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</si>
  <si>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</si>
  <si>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</si>
  <si>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</si>
  <si>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</si>
  <si>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</si>
  <si>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</si>
  <si>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</si>
  <si>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</si>
  <si>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</si>
  <si>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</si>
  <si>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</si>
  <si>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</si>
  <si>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</si>
  <si>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</si>
  <si>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</si>
  <si>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</si>
  <si>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</si>
  <si>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</si>
  <si>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</si>
  <si>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</si>
  <si>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</si>
  <si>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</si>
  <si>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</si>
  <si>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</si>
  <si>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</si>
  <si>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</si>
  <si>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</si>
  <si>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</si>
  <si>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</si>
  <si>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</si>
  <si>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</si>
  <si>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</si>
  <si>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</si>
  <si>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</si>
  <si>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</si>
  <si>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</si>
  <si>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</si>
  <si>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</si>
  <si>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</si>
  <si>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</si>
  <si>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</si>
  <si>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</si>
  <si>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</si>
  <si>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</si>
  <si>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</si>
  <si>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</si>
  <si>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</si>
  <si>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</si>
  <si>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</si>
  <si>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</si>
  <si>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</si>
  <si>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</si>
  <si>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</si>
  <si>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</si>
  <si>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</si>
  <si>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</si>
  <si>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</si>
  <si>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</si>
  <si>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</si>
  <si>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</si>
  <si>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</si>
  <si>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</si>
  <si>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</si>
  <si>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</si>
  <si>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</si>
  <si>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</si>
  <si>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</si>
  <si>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</si>
  <si>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</si>
  <si>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</si>
  <si>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</si>
  <si>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</si>
  <si>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</si>
  <si>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</si>
  <si>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</si>
  <si>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</si>
  <si>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</si>
  <si>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</si>
  <si>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</si>
  <si>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</si>
  <si>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</si>
  <si>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</si>
  <si>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</si>
  <si>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</si>
  <si>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</si>
  <si>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</si>
  <si>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</si>
  <si>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</si>
  <si>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</si>
  <si>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</si>
  <si>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</si>
  <si>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</si>
  <si>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</si>
  <si>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</si>
  <si>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</si>
  <si>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</si>
  <si>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</si>
  <si>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</si>
  <si>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</si>
  <si>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</si>
  <si>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</si>
  <si>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</si>
  <si>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</si>
  <si>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</si>
  <si>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</si>
  <si>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</si>
  <si>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</si>
  <si>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</si>
  <si>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</si>
  <si>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</si>
  <si>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</si>
  <si>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</si>
  <si>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</si>
  <si>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</si>
  <si>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</si>
  <si>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</si>
  <si>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</si>
  <si>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</si>
  <si>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</si>
  <si>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</si>
  <si>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</si>
  <si>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</si>
  <si>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</si>
  <si>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</si>
  <si>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</si>
  <si>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</si>
  <si>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</si>
  <si>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</si>
  <si>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</si>
  <si>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</si>
  <si>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</si>
  <si>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</si>
  <si>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</si>
  <si>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</si>
  <si>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</si>
  <si>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</si>
  <si>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</si>
  <si>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</si>
  <si>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</si>
  <si>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</si>
  <si>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</si>
  <si>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</si>
  <si>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</si>
  <si>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</si>
  <si>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</si>
  <si>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</si>
  <si>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</si>
  <si>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</si>
  <si>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</si>
  <si>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</si>
  <si>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</si>
  <si>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</si>
  <si>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</si>
  <si>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</si>
  <si>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</si>
  <si>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</si>
  <si>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</si>
  <si>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</si>
  <si>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</si>
  <si>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</si>
  <si>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</si>
  <si>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</si>
  <si>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</si>
  <si>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</si>
  <si>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</si>
  <si>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</si>
  <si>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</si>
  <si>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</si>
  <si>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</si>
  <si>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</si>
  <si>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</si>
  <si>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</si>
  <si>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</si>
  <si>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</si>
  <si>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</si>
  <si>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</si>
  <si>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</si>
  <si>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</si>
  <si>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</si>
  <si>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</si>
  <si>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</si>
  <si>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</si>
  <si>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</si>
  <si>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</si>
  <si>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</si>
  <si>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</si>
  <si>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</si>
  <si>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</si>
  <si>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</si>
  <si>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</si>
  <si>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</si>
  <si>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</si>
  <si>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</si>
  <si>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</si>
  <si>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</si>
  <si>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</si>
  <si>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</si>
  <si>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</si>
  <si>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</si>
  <si>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</si>
  <si>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</si>
  <si>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</si>
  <si>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</si>
  <si>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</si>
  <si>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</si>
  <si>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</si>
  <si>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</si>
  <si>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</si>
  <si>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</si>
  <si>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</si>
  <si>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</si>
  <si>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</si>
  <si>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</si>
  <si>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</si>
  <si>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</si>
  <si>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</si>
  <si>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</si>
  <si>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</si>
  <si>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</si>
  <si>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</si>
  <si>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</si>
  <si>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</si>
  <si>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</si>
  <si>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</si>
  <si>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</si>
  <si>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</si>
  <si>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</si>
  <si>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</si>
  <si>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</si>
  <si>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</si>
  <si>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</si>
  <si>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</si>
  <si>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</si>
  <si>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</si>
  <si>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</si>
  <si>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</si>
  <si>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</si>
  <si>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</si>
  <si>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</si>
  <si>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</si>
  <si>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</si>
  <si>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</si>
  <si>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</si>
  <si>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</si>
  <si>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</si>
  <si>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</si>
  <si>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</si>
  <si>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</si>
  <si>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</si>
  <si>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</si>
  <si>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</si>
  <si>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</si>
  <si>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</si>
  <si>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</si>
  <si>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</si>
  <si>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</si>
  <si>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</si>
  <si>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</si>
  <si>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</si>
  <si>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</si>
  <si>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</si>
  <si>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</si>
  <si>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</si>
  <si>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</si>
  <si>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</si>
  <si>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</si>
  <si>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</si>
  <si>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</si>
  <si>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</si>
  <si>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</si>
  <si>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</si>
  <si>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</si>
  <si>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</si>
  <si>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</si>
  <si>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</si>
  <si>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</si>
  <si>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</si>
  <si>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</si>
  <si>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</si>
  <si>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</si>
  <si>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</si>
  <si>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</si>
  <si>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</si>
  <si>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</si>
  <si>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</si>
  <si>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</si>
  <si>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</si>
  <si>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</si>
  <si>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</si>
  <si>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</si>
  <si>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</si>
  <si>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</si>
  <si>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</si>
  <si>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</si>
  <si>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</si>
  <si>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</si>
  <si>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</si>
  <si>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</si>
  <si>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</si>
  <si>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</si>
  <si>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</si>
  <si>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</si>
  <si>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</si>
  <si>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</si>
  <si>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</si>
  <si>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</si>
  <si>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</si>
  <si>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</si>
  <si>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</si>
  <si>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</si>
  <si>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</si>
  <si>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</si>
  <si>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</si>
  <si>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</si>
  <si>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</si>
  <si>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</si>
  <si>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</si>
  <si>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</si>
  <si>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</si>
  <si>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</si>
  <si>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</si>
  <si>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</si>
  <si>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</si>
  <si>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</si>
  <si>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</si>
  <si>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</si>
  <si>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</si>
  <si>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</si>
  <si>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</si>
  <si>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</si>
  <si>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</si>
  <si>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</si>
  <si>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</si>
  <si>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</si>
  <si>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</si>
  <si>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</si>
  <si>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</si>
  <si>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</si>
  <si>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</si>
  <si>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</si>
  <si>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</si>
  <si>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</si>
  <si>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</si>
  <si>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</si>
  <si>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</si>
  <si>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</si>
  <si>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</si>
  <si>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</si>
  <si>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</si>
  <si>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</si>
  <si>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</si>
  <si>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</si>
  <si>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</si>
  <si>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</si>
  <si>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</si>
  <si>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</si>
  <si>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</si>
  <si>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</si>
  <si>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</si>
  <si>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</si>
  <si>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</si>
  <si>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</si>
  <si>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</si>
  <si>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</si>
  <si>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</si>
  <si>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</si>
  <si>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</si>
  <si>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</si>
  <si>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</si>
  <si>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</si>
  <si>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</si>
  <si>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</si>
  <si>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</si>
  <si>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</si>
  <si>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</si>
  <si>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</si>
  <si>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</si>
  <si>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</si>
  <si>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</si>
  <si>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</si>
  <si>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</si>
  <si>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</si>
  <si>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</si>
  <si>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</si>
  <si>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</si>
  <si>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</si>
  <si>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</si>
  <si>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</si>
  <si>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</si>
  <si>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</si>
  <si>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</si>
  <si>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</si>
  <si>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</si>
  <si>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</si>
  <si>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</si>
  <si>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</si>
  <si>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</si>
  <si>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</si>
  <si>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</si>
  <si>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</si>
  <si>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</si>
  <si>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</si>
  <si>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</si>
  <si>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</si>
  <si>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</si>
  <si>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</si>
  <si>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</si>
  <si>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</si>
  <si>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</si>
  <si>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</si>
  <si>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</si>
  <si>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</si>
  <si>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</si>
  <si>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</si>
  <si>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</si>
  <si>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</si>
  <si>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</si>
  <si>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</si>
  <si>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</si>
  <si>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</si>
  <si>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</si>
  <si>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</si>
  <si>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</si>
  <si>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</si>
  <si>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</si>
  <si>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</si>
  <si>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</si>
  <si>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</si>
  <si>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</si>
  <si>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</si>
  <si>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</si>
  <si>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</si>
  <si>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</si>
  <si>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</si>
  <si>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</si>
  <si>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</si>
  <si>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</si>
  <si>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</si>
  <si>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</si>
  <si>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</si>
  <si>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</si>
  <si>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</si>
  <si>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</si>
  <si>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</si>
  <si>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</si>
  <si>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</si>
  <si>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</si>
  <si>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</si>
  <si>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</si>
  <si>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</si>
  <si>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</si>
  <si>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</si>
  <si>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</si>
  <si>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</si>
  <si>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</si>
  <si>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</si>
  <si>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</si>
  <si>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</si>
  <si>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</si>
  <si>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</si>
  <si>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</si>
  <si>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</si>
  <si>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</si>
  <si>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</si>
  <si>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</si>
  <si>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</si>
  <si>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</si>
  <si>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</si>
  <si>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</si>
  <si>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</si>
  <si>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</si>
  <si>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</si>
  <si>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</si>
  <si>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</si>
  <si>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</si>
  <si>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</si>
  <si>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</si>
  <si>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</si>
  <si>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</si>
  <si>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</si>
  <si>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</si>
  <si>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</si>
  <si>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</si>
  <si>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</si>
  <si>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</si>
  <si>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</si>
  <si>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</si>
  <si>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</si>
  <si>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</si>
  <si>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</si>
  <si>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</si>
  <si>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</si>
  <si>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</si>
  <si>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</si>
  <si>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</si>
  <si>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</si>
  <si>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</si>
  <si>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</si>
  <si>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</si>
  <si>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</si>
  <si>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</si>
  <si>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</si>
  <si>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</si>
  <si>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</si>
  <si>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</si>
  <si>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</si>
  <si>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</si>
  <si>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</si>
  <si>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</si>
  <si>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</si>
  <si>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</si>
  <si>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</si>
  <si>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</si>
  <si>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</si>
  <si>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</si>
  <si>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</si>
  <si>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</si>
  <si>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</si>
  <si>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</si>
  <si>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</si>
  <si>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</si>
  <si>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</si>
  <si>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</si>
  <si>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</si>
  <si>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</si>
  <si>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</si>
  <si>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</si>
  <si>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</si>
  <si>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</si>
  <si>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</si>
  <si>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</si>
  <si>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</si>
  <si>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</si>
  <si>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</si>
  <si>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</si>
  <si>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</si>
  <si>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</si>
  <si>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</si>
  <si>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</si>
  <si>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</si>
  <si>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</si>
  <si>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</si>
  <si>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</si>
  <si>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</si>
  <si>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</si>
  <si>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</si>
  <si>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</si>
  <si>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</si>
  <si>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</si>
  <si>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</si>
  <si>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</si>
  <si>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</si>
  <si>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</si>
  <si>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</si>
  <si>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</si>
  <si>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</si>
  <si>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</si>
  <si>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</si>
  <si>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</si>
  <si>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</si>
  <si>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</si>
  <si>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</si>
  <si>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</si>
  <si>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</si>
  <si>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</si>
  <si>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</si>
  <si>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</si>
  <si>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</si>
  <si>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</si>
  <si>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</si>
  <si>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</si>
  <si>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</si>
  <si>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</si>
  <si>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</si>
  <si>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</si>
  <si>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</si>
  <si>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</si>
  <si>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</si>
  <si>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</si>
  <si>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</si>
  <si>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</si>
  <si>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</si>
  <si>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</si>
  <si>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</si>
  <si>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</si>
  <si>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</si>
  <si>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</si>
  <si>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</si>
  <si>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</si>
  <si>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</si>
  <si>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</si>
  <si>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</si>
  <si>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</si>
  <si>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</si>
  <si>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</si>
  <si>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</si>
  <si>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</si>
  <si>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</si>
  <si>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</si>
  <si>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</si>
  <si>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</si>
  <si>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</si>
  <si>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</si>
  <si>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</si>
  <si>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</si>
  <si>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</si>
  <si>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</si>
  <si>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</si>
  <si>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</si>
  <si>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</si>
  <si>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</si>
  <si>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</si>
  <si>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</si>
  <si>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</si>
  <si>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</si>
  <si>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</si>
  <si>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</si>
  <si>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</si>
  <si>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</si>
  <si>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</si>
  <si>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</si>
  <si>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</si>
  <si>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</si>
  <si>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</si>
  <si>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</si>
  <si>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</si>
  <si>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</si>
  <si>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</si>
  <si>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</si>
  <si>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</si>
  <si>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</si>
  <si>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</si>
  <si>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</si>
  <si>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</si>
  <si>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</si>
  <si>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</si>
  <si>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</si>
  <si>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</si>
  <si>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</si>
  <si>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</si>
  <si>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</si>
  <si>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</si>
  <si>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</si>
  <si>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</si>
  <si>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</si>
  <si>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</si>
  <si>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</si>
  <si>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</si>
  <si>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</si>
  <si>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</si>
  <si>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</si>
  <si>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</si>
  <si>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</si>
  <si>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</si>
  <si>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</si>
  <si>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</si>
  <si>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</si>
  <si>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</si>
  <si>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</si>
  <si>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</si>
  <si>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</si>
  <si>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</si>
  <si>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</si>
  <si>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</si>
  <si>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</si>
  <si>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</si>
  <si>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</si>
  <si>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</si>
  <si>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</si>
  <si>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</si>
  <si>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</si>
  <si>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</si>
  <si>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</si>
  <si>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</si>
  <si>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</si>
  <si>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</si>
  <si>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</si>
  <si>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</si>
  <si>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</si>
  <si>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</si>
  <si>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</si>
  <si>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</si>
  <si>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</si>
  <si>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</si>
  <si>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</si>
  <si>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</si>
  <si>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</si>
  <si>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</si>
  <si>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</si>
  <si>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</si>
  <si>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</si>
  <si>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</si>
  <si>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</si>
  <si>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</si>
  <si>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</si>
  <si>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</si>
  <si>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</si>
  <si>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</si>
  <si>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</si>
  <si>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</si>
  <si>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</si>
  <si>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</si>
  <si>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</si>
  <si>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</si>
  <si>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</si>
  <si>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</si>
  <si>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</si>
  <si>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</si>
  <si>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</si>
  <si>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</si>
  <si>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</si>
  <si>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</si>
  <si>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</si>
  <si>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</si>
  <si>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</si>
  <si>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</si>
  <si>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</si>
  <si>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</si>
  <si>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</si>
  <si>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</si>
  <si>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</si>
  <si>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</si>
  <si>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</si>
  <si>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</si>
  <si>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</si>
  <si>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</si>
  <si>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</si>
  <si>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</si>
  <si>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</si>
  <si>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</si>
  <si>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</si>
  <si>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</si>
  <si>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</si>
  <si>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</si>
  <si>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</si>
  <si>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</si>
  <si>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</si>
  <si>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</si>
  <si>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</si>
  <si>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</si>
  <si>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</si>
  <si>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</si>
  <si>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</si>
  <si>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</si>
  <si>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</si>
  <si>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</si>
  <si>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</si>
  <si>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</si>
  <si>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</si>
  <si>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</si>
  <si>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</si>
  <si>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</si>
  <si>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</si>
  <si>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</si>
  <si>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</si>
  <si>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</si>
  <si>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</si>
  <si>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</si>
  <si>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</si>
  <si>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</si>
  <si>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</si>
  <si>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</si>
  <si>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</si>
  <si>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</si>
  <si>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</si>
  <si>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</si>
  <si>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</si>
  <si>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</si>
  <si>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</si>
  <si>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</si>
  <si>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</si>
  <si>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</si>
  <si>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</si>
  <si>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</si>
  <si>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</si>
  <si>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</si>
  <si>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</si>
  <si>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</si>
  <si>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</si>
  <si>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</si>
  <si>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</si>
  <si>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</si>
  <si>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</si>
  <si>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</si>
  <si>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</si>
  <si>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</si>
  <si>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</si>
  <si>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</si>
  <si>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</si>
  <si>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</si>
  <si>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</si>
  <si>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</si>
  <si>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</si>
  <si>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</si>
  <si>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</si>
  <si>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</si>
  <si>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</si>
  <si>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</si>
  <si>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</si>
  <si>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</si>
  <si>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</si>
  <si>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</si>
  <si>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</si>
  <si>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</si>
  <si>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</si>
  <si>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</si>
  <si>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</si>
  <si>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</si>
  <si>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</si>
  <si>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</si>
  <si>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</si>
  <si>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</si>
  <si>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</si>
  <si>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</si>
  <si>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</si>
  <si>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</si>
  <si>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</si>
  <si>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</si>
  <si>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</si>
  <si>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</si>
  <si>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</si>
  <si>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</si>
  <si>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</si>
  <si>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</si>
  <si>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</si>
  <si>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</si>
  <si>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</si>
  <si>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</si>
  <si>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</si>
  <si>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</si>
  <si>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</si>
  <si>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</si>
  <si>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</si>
  <si>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</si>
  <si>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</si>
  <si>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</si>
  <si>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</si>
  <si>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</si>
  <si>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</si>
  <si>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</si>
  <si>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</si>
  <si>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</si>
  <si>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</si>
  <si>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</si>
  <si>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</si>
  <si>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</si>
  <si>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</si>
  <si>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</si>
  <si>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</si>
  <si>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</si>
  <si>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</si>
  <si>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</si>
  <si>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</si>
  <si>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</si>
  <si>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</si>
  <si>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</si>
  <si>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</si>
  <si>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</si>
  <si>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</si>
  <si>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</si>
  <si>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</si>
  <si>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</si>
  <si>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</si>
  <si>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</si>
  <si>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</si>
  <si>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</si>
  <si>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</si>
  <si>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</si>
  <si>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</si>
  <si>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</si>
  <si>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</si>
  <si>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</si>
  <si>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</si>
  <si>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</si>
  <si>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</si>
  <si>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</si>
  <si>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</si>
  <si>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</si>
  <si>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</si>
  <si>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</si>
  <si>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</si>
  <si>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</si>
  <si>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</si>
  <si>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</si>
  <si>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</si>
  <si>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</si>
  <si>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</si>
  <si>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</si>
  <si>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</si>
  <si>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</si>
  <si>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</si>
  <si>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</si>
  <si>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</si>
  <si>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</si>
  <si>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</si>
  <si>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</si>
  <si>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</si>
  <si>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</si>
  <si>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</si>
  <si>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</si>
  <si>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</si>
  <si>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</si>
  <si>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</si>
  <si>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</si>
  <si>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</si>
  <si>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</si>
  <si>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</si>
  <si>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</si>
  <si>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</si>
  <si>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</si>
  <si>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</si>
  <si>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</si>
  <si>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</si>
  <si>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</si>
  <si>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</si>
  <si>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</si>
  <si>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</si>
  <si>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</si>
  <si>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</si>
  <si>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</si>
  <si>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</si>
  <si>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</si>
  <si>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</si>
  <si>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</si>
  <si>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</si>
  <si>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</si>
  <si>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</si>
  <si>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</si>
  <si>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</si>
  <si>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</si>
  <si>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</si>
  <si>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</si>
  <si>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</si>
  <si>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</si>
  <si>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</si>
  <si>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</si>
  <si>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</si>
  <si>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</si>
  <si>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</si>
  <si>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</si>
  <si>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</si>
  <si>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</si>
  <si>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</si>
  <si>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</si>
  <si>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</si>
  <si>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</si>
  <si>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</si>
  <si>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</si>
  <si>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</si>
  <si>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</si>
  <si>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</si>
  <si>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</si>
  <si>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</si>
  <si>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</si>
  <si>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</si>
  <si>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</si>
  <si>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</si>
  <si>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</si>
  <si>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</si>
  <si>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</si>
  <si>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</si>
  <si>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</si>
  <si>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</si>
  <si>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</si>
  <si>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</si>
  <si>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</si>
  <si>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</si>
  <si>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</si>
  <si>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</si>
  <si>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</si>
  <si>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</si>
  <si>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</si>
  <si>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</si>
  <si>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</si>
  <si>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</si>
  <si>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</si>
  <si>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</si>
  <si>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</si>
  <si>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</si>
  <si>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</si>
  <si>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</si>
  <si>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</si>
  <si>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</si>
  <si>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</si>
  <si>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</si>
  <si>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</si>
  <si>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</si>
  <si>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</si>
  <si>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</si>
  <si>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</si>
  <si>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</si>
  <si>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</si>
  <si>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</si>
  <si>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</si>
  <si>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</si>
  <si>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</si>
  <si>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</si>
  <si>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</si>
  <si>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</si>
  <si>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</si>
  <si>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</si>
  <si>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</si>
  <si>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</si>
  <si>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</si>
  <si>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</si>
  <si>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</si>
  <si>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</si>
  <si>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</si>
  <si>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</si>
  <si>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</si>
  <si>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</si>
  <si>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</si>
  <si>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</si>
  <si>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</si>
  <si>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</si>
  <si>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</si>
  <si>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</si>
  <si>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</si>
  <si>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</si>
  <si>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</si>
  <si>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</si>
  <si>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</si>
  <si>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</si>
  <si>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</si>
  <si>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</si>
  <si>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</si>
  <si>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</si>
  <si>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</si>
  <si>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</si>
  <si>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</si>
  <si>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</si>
  <si>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</si>
  <si>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</si>
  <si>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</si>
  <si>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</si>
  <si>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</si>
  <si>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</si>
  <si>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</si>
  <si>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</si>
  <si>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</si>
  <si>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</si>
  <si>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</si>
  <si>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</si>
  <si>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</si>
  <si>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</si>
  <si>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</si>
  <si>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</si>
  <si>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</si>
  <si>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</si>
  <si>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</si>
  <si>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</si>
  <si>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</si>
  <si>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</si>
  <si>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</si>
  <si>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</si>
  <si>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</si>
  <si>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</si>
  <si>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</si>
  <si>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</si>
  <si>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</si>
  <si>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</si>
  <si>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</si>
  <si>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</si>
  <si>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</si>
  <si>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</si>
  <si>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</si>
  <si>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</si>
  <si>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</si>
  <si>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</si>
  <si>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</si>
  <si>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</si>
  <si>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</si>
  <si>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</si>
  <si>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</si>
  <si>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</si>
  <si>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</si>
  <si>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</si>
  <si>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</si>
  <si>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</si>
  <si>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</si>
  <si>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</si>
  <si>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</si>
  <si>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</si>
  <si>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</si>
  <si>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</si>
  <si>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</si>
  <si>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</si>
  <si>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</si>
  <si>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</si>
  <si>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</si>
  <si>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</si>
  <si>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</si>
  <si>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</si>
  <si>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</si>
  <si>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</si>
  <si>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</si>
  <si>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</si>
  <si>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</si>
  <si>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</si>
  <si>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</si>
  <si>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</si>
  <si>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</si>
  <si>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</si>
  <si>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</si>
  <si>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</si>
  <si>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</si>
  <si>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</si>
  <si>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</si>
  <si>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</si>
  <si>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</si>
  <si>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</si>
  <si>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</si>
  <si>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</si>
  <si>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</si>
  <si>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</si>
  <si>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</si>
  <si>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</si>
  <si>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</si>
  <si>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</si>
  <si>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</si>
  <si>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</si>
  <si>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</si>
  <si>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</si>
  <si>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</si>
  <si>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</si>
  <si>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</si>
  <si>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</si>
  <si>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</si>
  <si>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</si>
  <si>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</si>
  <si>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</si>
  <si>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</si>
  <si>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</si>
  <si>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</si>
  <si>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</si>
  <si>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</si>
  <si>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</si>
  <si>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</si>
  <si>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</si>
  <si>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</si>
  <si>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</si>
  <si>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</si>
  <si>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</si>
  <si>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</si>
  <si>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</si>
  <si>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</si>
  <si>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</si>
  <si>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</si>
  <si>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</si>
  <si>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</si>
  <si>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</si>
  <si>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</si>
  <si>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</si>
  <si>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</si>
  <si>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</si>
  <si>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</si>
  <si>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</si>
  <si>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</si>
  <si>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</si>
  <si>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</si>
  <si>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</si>
  <si>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</si>
  <si>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</si>
  <si>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</si>
  <si>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</si>
  <si>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</si>
  <si>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</si>
  <si>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</si>
  <si>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</si>
  <si>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</si>
  <si>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</si>
  <si>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</si>
  <si>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</si>
  <si>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</si>
  <si>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</si>
  <si>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</si>
  <si>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</si>
  <si>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</si>
  <si>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</si>
  <si>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</si>
  <si>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</si>
  <si>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</si>
  <si>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</si>
  <si>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</si>
  <si>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</si>
  <si>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</si>
  <si>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</si>
  <si>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</si>
  <si>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</si>
  <si>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</si>
  <si>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</si>
  <si>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</si>
  <si>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</si>
  <si>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</si>
  <si>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</si>
  <si>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</si>
  <si>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</si>
  <si>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</si>
  <si>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</si>
  <si>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</si>
  <si>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</si>
  <si>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</si>
  <si>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</si>
  <si>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</si>
  <si>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</si>
  <si>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</si>
  <si>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</si>
  <si>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</si>
  <si>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</si>
  <si>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</si>
  <si>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</si>
  <si>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</si>
  <si>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</si>
  <si>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</si>
  <si>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</si>
  <si>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</si>
  <si>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</si>
  <si>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</si>
  <si>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</si>
  <si>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</si>
  <si>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</si>
  <si>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</si>
  <si>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</si>
  <si>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</si>
  <si>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</si>
  <si>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</si>
  <si>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</si>
  <si>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</si>
  <si>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</si>
  <si>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</si>
  <si>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</si>
  <si>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</si>
  <si>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</si>
  <si>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</si>
  <si>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</si>
  <si>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</si>
  <si>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</si>
  <si>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</si>
  <si>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</si>
  <si>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</si>
  <si>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</si>
  <si>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</si>
  <si>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</si>
  <si>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</si>
  <si>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</si>
  <si>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</si>
  <si>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</si>
  <si>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</si>
  <si>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</si>
  <si>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</si>
  <si>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</si>
  <si>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</si>
  <si>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</si>
  <si>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</si>
  <si>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</si>
  <si>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</si>
  <si>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</si>
  <si>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</si>
  <si>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</si>
  <si>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</si>
  <si>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</si>
  <si>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</si>
  <si>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</si>
  <si>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</si>
  <si>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</si>
  <si>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</si>
  <si>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</si>
  <si>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</si>
  <si>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</si>
  <si>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</si>
  <si>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</si>
  <si>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</si>
  <si>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</si>
  <si>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</si>
  <si>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</si>
  <si>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</si>
  <si>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</si>
  <si>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</si>
  <si>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</si>
  <si>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</si>
  <si>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</si>
  <si>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</si>
  <si>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</si>
  <si>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</si>
  <si>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</si>
  <si>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</si>
  <si>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</si>
  <si>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</si>
  <si>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</si>
  <si>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</si>
  <si>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</si>
  <si>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</si>
  <si>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</si>
  <si>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</si>
  <si>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</si>
  <si>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</si>
  <si>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</si>
  <si>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</si>
  <si>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</si>
  <si>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</si>
  <si>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</si>
  <si>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</si>
  <si>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</si>
  <si>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</si>
  <si>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</si>
  <si>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</si>
  <si>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</si>
  <si>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</si>
  <si>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</si>
  <si>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</si>
  <si>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</si>
  <si>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</si>
  <si>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</si>
  <si>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</si>
  <si>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</si>
  <si>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</si>
  <si>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</si>
  <si>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</si>
  <si>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</si>
  <si>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</si>
  <si>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</si>
  <si>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</si>
  <si>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</si>
  <si>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</si>
  <si>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</si>
  <si>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</si>
  <si>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</si>
  <si>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</si>
  <si>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</si>
  <si>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</si>
  <si>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</si>
  <si>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</si>
  <si>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</si>
  <si>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</si>
  <si>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</si>
  <si>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</si>
  <si>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</si>
  <si>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</si>
  <si>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</si>
  <si>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</si>
  <si>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</si>
  <si>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</si>
  <si>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</si>
  <si>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</si>
  <si>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</si>
  <si>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</si>
  <si>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</si>
  <si>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</si>
  <si>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</si>
  <si>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</si>
  <si>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</si>
  <si>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</si>
  <si>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</si>
  <si>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</si>
  <si>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</si>
  <si>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</si>
  <si>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</si>
  <si>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</si>
  <si>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</si>
  <si>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</si>
  <si>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</si>
  <si>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</si>
  <si>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</si>
  <si>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</si>
  <si>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</si>
  <si>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</si>
  <si>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</si>
  <si>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</si>
  <si>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</si>
  <si>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</si>
  <si>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</si>
  <si>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</si>
  <si>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</si>
  <si>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</si>
  <si>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</si>
  <si>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</si>
  <si>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</si>
  <si>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</si>
  <si>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</si>
  <si>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</si>
  <si>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</si>
  <si>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</si>
  <si>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</si>
  <si>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</si>
  <si>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</si>
  <si>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</si>
  <si>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</si>
  <si>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</si>
  <si>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</si>
  <si>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</si>
  <si>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</si>
  <si>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</si>
  <si>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</si>
  <si>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</si>
  <si>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</si>
  <si>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</si>
  <si>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</si>
  <si>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</si>
  <si>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</si>
  <si>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</si>
  <si>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</si>
  <si>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</si>
  <si>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</si>
  <si>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</si>
  <si>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</si>
  <si>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</si>
  <si>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</si>
  <si>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</si>
  <si>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</si>
  <si>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</si>
  <si>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</si>
  <si>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</si>
  <si>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</si>
  <si>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</si>
  <si>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</si>
  <si>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</si>
  <si>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</si>
  <si>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</si>
  <si>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</si>
  <si>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</si>
  <si>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</si>
  <si>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</si>
  <si>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</si>
  <si>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</si>
  <si>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</si>
  <si>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</si>
  <si>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</si>
  <si>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</si>
  <si>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</si>
  <si>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</si>
  <si>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</si>
  <si>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</si>
  <si>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</si>
  <si>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</si>
  <si>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</si>
  <si>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</si>
  <si>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</si>
  <si>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</si>
  <si>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</si>
  <si>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</si>
  <si>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</si>
  <si>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</si>
  <si>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</si>
  <si>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</si>
  <si>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</si>
  <si>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</si>
  <si>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</si>
  <si>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</si>
  <si>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</si>
  <si>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</si>
  <si>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</si>
  <si>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</si>
  <si>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</si>
  <si>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</si>
  <si>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</si>
  <si>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</si>
  <si>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</si>
  <si>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</si>
  <si>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</si>
  <si>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</si>
  <si>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</si>
  <si>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</si>
  <si>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</si>
  <si>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</si>
  <si>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</si>
  <si>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</si>
  <si>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</si>
  <si>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</si>
  <si>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</si>
  <si>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</si>
  <si>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</si>
  <si>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</si>
  <si>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</si>
  <si>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</si>
  <si>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</si>
  <si>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</si>
  <si>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</si>
  <si>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</si>
  <si>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</si>
  <si>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</si>
  <si>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</si>
  <si>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</si>
  <si>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</si>
  <si>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</si>
  <si>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</si>
  <si>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</si>
  <si>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</si>
  <si>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</si>
  <si>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</si>
  <si>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</si>
  <si>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</si>
  <si>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</si>
  <si>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</si>
  <si>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</si>
  <si>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</si>
  <si>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</si>
  <si>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</si>
  <si>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</si>
  <si>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</si>
  <si>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</si>
  <si>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</si>
  <si>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</si>
  <si>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</si>
  <si>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</si>
  <si>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</si>
  <si>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</si>
  <si>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</si>
  <si>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</si>
  <si>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</si>
  <si>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</si>
  <si>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</si>
  <si>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</si>
  <si>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</si>
  <si>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</si>
  <si>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</si>
  <si>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</si>
  <si>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</si>
  <si>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</si>
  <si>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</si>
  <si>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</si>
  <si>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</si>
  <si>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</si>
  <si>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</si>
  <si>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</si>
  <si>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</si>
  <si>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</si>
  <si>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</si>
  <si>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</si>
  <si>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</si>
  <si>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</si>
  <si>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</si>
  <si>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</si>
  <si>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</si>
  <si>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</si>
  <si>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</si>
  <si>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</si>
  <si>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</si>
  <si>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</si>
  <si>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</si>
  <si>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</si>
  <si>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</si>
  <si>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</si>
  <si>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</si>
  <si>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</si>
  <si>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</si>
  <si>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</si>
  <si>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</si>
  <si>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</si>
  <si>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</si>
  <si>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</si>
  <si>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</si>
  <si>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</si>
  <si>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</si>
  <si>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</si>
  <si>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</si>
  <si>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</si>
  <si>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</si>
  <si>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</si>
  <si>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</si>
  <si>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</si>
  <si>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</si>
  <si>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</si>
  <si>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</si>
  <si>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</si>
  <si>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</si>
  <si>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</si>
  <si>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</si>
  <si>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</si>
  <si>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</si>
  <si>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</si>
  <si>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</si>
  <si>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</si>
  <si>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</si>
  <si>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</si>
  <si>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</si>
  <si>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</si>
  <si>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</si>
  <si>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</si>
  <si>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</si>
  <si>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</si>
  <si>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</si>
  <si>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</si>
  <si>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</si>
  <si>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</si>
  <si>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</si>
  <si>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</si>
  <si>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</si>
  <si>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</si>
  <si>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</si>
  <si>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</si>
  <si>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</si>
  <si>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</si>
  <si>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</si>
  <si>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</si>
  <si>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</si>
  <si>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</si>
  <si>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</si>
  <si>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</si>
  <si>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</si>
  <si>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</si>
  <si>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</si>
  <si>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</si>
  <si>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</si>
  <si>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</si>
  <si>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</si>
  <si>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</si>
  <si>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</si>
  <si>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</si>
  <si>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</si>
  <si>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</si>
  <si>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</si>
  <si>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</si>
  <si>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</si>
  <si>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</si>
  <si>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</si>
  <si>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</si>
  <si>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</si>
  <si>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</si>
  <si>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</si>
  <si>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</si>
  <si>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</si>
  <si>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</si>
  <si>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</si>
  <si>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</si>
  <si>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</si>
  <si>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</si>
  <si>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</si>
  <si>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</si>
  <si>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</si>
  <si>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</si>
  <si>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</si>
  <si>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</si>
  <si>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</si>
  <si>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</si>
  <si>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</si>
  <si>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</si>
  <si>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</si>
  <si>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</si>
  <si>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</si>
  <si>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</si>
  <si>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</si>
  <si>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</si>
  <si>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</si>
  <si>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</si>
  <si>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</si>
  <si>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</si>
  <si>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</si>
  <si>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</si>
  <si>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</si>
  <si>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</si>
  <si>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</si>
  <si>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</si>
  <si>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</si>
  <si>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</si>
  <si>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</si>
  <si>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</si>
  <si>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</si>
  <si>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</si>
  <si>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</si>
  <si>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</si>
  <si>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</si>
  <si>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</si>
  <si>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</si>
  <si>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</si>
  <si>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</si>
  <si>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</si>
  <si>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</si>
  <si>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</si>
  <si>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</si>
  <si>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</si>
  <si>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</si>
  <si>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</si>
  <si>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</si>
  <si>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</si>
  <si>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</si>
  <si>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</si>
  <si>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</si>
  <si>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</si>
  <si>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</si>
  <si>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</si>
  <si>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</si>
  <si>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</si>
  <si>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</si>
  <si>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</si>
  <si>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</si>
  <si>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</si>
  <si>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</si>
  <si>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</si>
  <si>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</si>
  <si>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</si>
  <si>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</si>
  <si>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</si>
  <si>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</si>
  <si>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</si>
  <si>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</si>
  <si>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</si>
  <si>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</si>
  <si>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</si>
  <si>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</si>
  <si>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</si>
  <si>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</si>
  <si>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</si>
  <si>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</si>
  <si>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</si>
  <si>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</si>
  <si>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</si>
  <si>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</si>
  <si>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</si>
  <si>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</si>
  <si>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</si>
  <si>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</si>
  <si>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</si>
  <si>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</si>
  <si>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</si>
  <si>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</si>
  <si>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</si>
  <si>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</si>
  <si>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</si>
  <si>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</si>
  <si>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</si>
  <si>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</si>
  <si>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</si>
  <si>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</si>
  <si>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</si>
  <si>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</si>
  <si>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</si>
  <si>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</si>
  <si>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</si>
  <si>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</si>
  <si>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</si>
  <si>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</si>
  <si>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</si>
  <si>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</si>
  <si>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</si>
  <si>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</si>
  <si>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</si>
  <si>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</si>
  <si>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</si>
  <si>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</si>
  <si>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</si>
  <si>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</si>
  <si>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</si>
  <si>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</si>
  <si>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</si>
  <si>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</si>
  <si>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</si>
  <si>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</si>
  <si>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</si>
  <si>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</si>
  <si>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</si>
  <si>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</si>
  <si>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</si>
  <si>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</si>
  <si>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</si>
  <si>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</si>
  <si>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</si>
  <si>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</si>
  <si>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</si>
  <si>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</si>
  <si>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</si>
  <si>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</si>
  <si>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</si>
  <si>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</si>
  <si>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</si>
  <si>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</si>
  <si>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</si>
  <si>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</si>
  <si>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</si>
  <si>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</si>
  <si>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</si>
  <si>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</si>
  <si>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</si>
  <si>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</si>
  <si>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</si>
  <si>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</si>
  <si>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</si>
  <si>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</si>
  <si>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</si>
  <si>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</si>
  <si>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</si>
  <si>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</si>
  <si>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</si>
  <si>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</si>
  <si>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</si>
  <si>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</si>
  <si>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</si>
  <si>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</si>
  <si>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</si>
  <si>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</si>
  <si>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</si>
  <si>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</si>
  <si>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</si>
  <si>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</si>
  <si>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</si>
  <si>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</si>
  <si>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</si>
  <si>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</si>
  <si>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</si>
  <si>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</si>
  <si>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</si>
  <si>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</si>
  <si>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</si>
  <si>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</si>
  <si>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</si>
  <si>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</si>
  <si>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</si>
  <si>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</si>
  <si>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</si>
  <si>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</si>
  <si>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</si>
  <si>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</si>
  <si>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</si>
  <si>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</si>
  <si>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</si>
  <si>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</si>
  <si>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</si>
  <si>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</si>
  <si>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</si>
  <si>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</si>
  <si>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</si>
  <si>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</si>
  <si>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</si>
  <si>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</si>
  <si>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</si>
  <si>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</si>
  <si>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</si>
  <si>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</si>
  <si>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</si>
  <si>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</si>
  <si>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</si>
  <si>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</si>
  <si>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</si>
  <si>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</si>
  <si>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</si>
  <si>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</si>
  <si>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</si>
  <si>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</si>
  <si>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</si>
  <si>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</si>
  <si>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</si>
  <si>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</si>
  <si>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</si>
  <si>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</si>
  <si>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</si>
  <si>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</si>
  <si>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</si>
  <si>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</si>
  <si>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</si>
  <si>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</si>
  <si>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</si>
  <si>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</si>
  <si>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</si>
  <si>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</si>
  <si>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</si>
  <si>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</si>
  <si>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</si>
  <si>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</si>
  <si>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</si>
  <si>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</si>
  <si>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</si>
  <si>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</si>
  <si>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</si>
  <si>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</si>
  <si>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</si>
  <si>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</si>
  <si>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</si>
  <si>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</si>
  <si>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</si>
  <si>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</si>
  <si>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</si>
  <si>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</si>
  <si>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</si>
  <si>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</si>
  <si>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</si>
  <si>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</si>
  <si>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</si>
  <si>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</si>
  <si>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</si>
  <si>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</si>
  <si>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</si>
  <si>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</si>
  <si>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</si>
  <si>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</si>
  <si>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</si>
  <si>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</si>
  <si>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</si>
  <si>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</si>
  <si>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</si>
  <si>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</si>
  <si>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</si>
  <si>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</si>
  <si>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</si>
  <si>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</si>
  <si>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</si>
  <si>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</si>
  <si>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</si>
  <si>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</si>
  <si>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</si>
  <si>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</si>
  <si>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</si>
  <si>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</si>
  <si>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</si>
  <si>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</si>
  <si>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</si>
  <si>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</si>
  <si>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</si>
  <si>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</si>
  <si>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</si>
  <si>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</si>
  <si>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</si>
  <si>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</si>
  <si>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</si>
  <si>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</si>
  <si>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</si>
  <si>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</si>
  <si>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</si>
  <si>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</si>
  <si>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</si>
  <si>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</si>
  <si>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</si>
  <si>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</si>
  <si>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</si>
  <si>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</si>
  <si>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</si>
  <si>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</si>
  <si>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</si>
  <si>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</si>
  <si>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</si>
  <si>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</si>
  <si>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</si>
  <si>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</si>
  <si>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</si>
  <si>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</si>
  <si>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</si>
  <si>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</si>
  <si>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</si>
  <si>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</si>
  <si>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</si>
  <si>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</si>
  <si>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</si>
  <si>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</si>
  <si>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</si>
  <si>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</si>
  <si>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</si>
  <si>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</si>
  <si>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</si>
  <si>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</si>
  <si>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</si>
  <si>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</si>
  <si>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</si>
  <si>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</si>
  <si>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</si>
  <si>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</si>
  <si>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</si>
  <si>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</si>
  <si>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</si>
  <si>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</si>
  <si>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</si>
  <si>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</si>
  <si>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</si>
  <si>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</si>
  <si>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</si>
  <si>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</si>
  <si>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</si>
  <si>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</si>
  <si>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</si>
  <si>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</si>
  <si>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</si>
  <si>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</si>
  <si>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</si>
  <si>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</si>
  <si>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</si>
  <si>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</si>
  <si>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</si>
  <si>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</si>
  <si>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</si>
  <si>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</si>
  <si>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</si>
  <si>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</si>
  <si>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</si>
  <si>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</si>
  <si>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</si>
  <si>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</si>
  <si>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</si>
  <si>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</si>
  <si>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</si>
  <si>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</si>
  <si>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</si>
  <si>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</si>
  <si>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</si>
  <si>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</si>
  <si>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</si>
  <si>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</si>
  <si>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</si>
  <si>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</si>
  <si>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</si>
  <si>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</si>
  <si>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</si>
  <si>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</si>
  <si>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</si>
  <si>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</si>
  <si>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</si>
  <si>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</si>
  <si>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</si>
  <si>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</si>
  <si>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</si>
  <si>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</si>
  <si>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</si>
  <si>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</si>
  <si>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</si>
  <si>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</si>
  <si>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</si>
  <si>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</si>
  <si>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</si>
  <si>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</si>
  <si>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</si>
  <si>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</si>
  <si>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</si>
  <si>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</si>
  <si>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</si>
  <si>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</si>
  <si>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</si>
  <si>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</si>
  <si>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</si>
  <si>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</si>
  <si>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</si>
  <si>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</si>
  <si>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</si>
  <si>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</si>
  <si>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</si>
  <si>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</si>
  <si>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</si>
  <si>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</si>
  <si>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</si>
  <si>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</si>
  <si>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</si>
  <si>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</si>
  <si>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</si>
  <si>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</si>
  <si>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</si>
  <si>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</si>
  <si>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</si>
  <si>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</si>
  <si>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</si>
  <si>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</si>
  <si>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</si>
  <si>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</si>
  <si>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</si>
  <si>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</si>
  <si>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</si>
  <si>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</si>
  <si>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</si>
  <si>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</si>
  <si>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</si>
  <si>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</si>
  <si>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</si>
  <si>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</si>
  <si>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</si>
  <si>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</si>
  <si>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</si>
  <si>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</si>
  <si>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</si>
  <si>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</si>
  <si>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</si>
  <si>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</si>
  <si>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</si>
  <si>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</si>
  <si>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</si>
  <si>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</si>
  <si>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</si>
  <si>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</si>
  <si>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</si>
  <si>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</si>
  <si>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</si>
  <si>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</si>
  <si>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</si>
  <si>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</si>
  <si>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</si>
  <si>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</si>
  <si>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</si>
  <si>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</si>
  <si>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</si>
  <si>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</si>
  <si>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</si>
  <si>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</si>
  <si>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</si>
  <si>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</si>
  <si>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</si>
  <si>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</si>
  <si>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</si>
  <si>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</si>
  <si>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</si>
  <si>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</si>
  <si>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</si>
  <si>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</si>
  <si>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</si>
  <si>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</si>
  <si>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</si>
  <si>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</si>
  <si>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</si>
  <si>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</si>
  <si>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</si>
  <si>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</si>
  <si>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</si>
  <si>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</si>
  <si>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</si>
  <si>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</si>
  <si>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</si>
  <si>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</si>
  <si>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</si>
  <si>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</si>
  <si>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</si>
  <si>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</si>
  <si>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</si>
  <si>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</si>
  <si>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</si>
  <si>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</si>
  <si>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</si>
  <si>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</si>
  <si>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</si>
  <si>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</si>
  <si>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</si>
  <si>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</si>
  <si>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</si>
  <si>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</si>
  <si>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</si>
  <si>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</si>
  <si>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</si>
  <si>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</si>
  <si>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</si>
  <si>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</si>
  <si>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</si>
  <si>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</si>
  <si>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</si>
  <si>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</si>
  <si>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</si>
  <si>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</si>
  <si>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</si>
  <si>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</si>
  <si>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</si>
  <si>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</si>
  <si>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</si>
  <si>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</si>
  <si>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</si>
  <si>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</si>
  <si>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</si>
  <si>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</si>
  <si>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</si>
  <si>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</si>
  <si>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</si>
  <si>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</si>
  <si>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</si>
  <si>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</si>
  <si>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</si>
  <si>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</si>
  <si>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</si>
  <si>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</si>
  <si>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</si>
  <si>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</si>
  <si>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</si>
  <si>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</si>
  <si>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</si>
  <si>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</si>
  <si>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</si>
  <si>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</si>
  <si>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</si>
  <si>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</si>
  <si>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</si>
  <si>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</si>
  <si>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</si>
  <si>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</si>
  <si>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</si>
  <si>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</si>
  <si>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</si>
  <si>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</si>
  <si>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</si>
  <si>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</si>
  <si>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</si>
  <si>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</si>
  <si>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</si>
  <si>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</si>
  <si>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</si>
  <si>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</si>
  <si>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</si>
  <si>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</si>
  <si>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</si>
  <si>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</si>
  <si>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</si>
  <si>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</si>
  <si>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</si>
  <si>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</si>
  <si>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</si>
  <si>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</si>
  <si>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</si>
  <si>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</si>
  <si>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</si>
  <si>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</si>
  <si>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</si>
  <si>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</si>
  <si>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</si>
  <si>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</si>
  <si>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</si>
  <si>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</si>
  <si>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</si>
  <si>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</si>
  <si>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</si>
  <si>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</si>
  <si>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</si>
  <si>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</si>
  <si>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</si>
  <si>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</si>
  <si>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</si>
  <si>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</si>
  <si>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</si>
  <si>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</si>
  <si>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</si>
  <si>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</si>
  <si>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</si>
  <si>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</si>
  <si>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</si>
  <si>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</si>
  <si>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</si>
  <si>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</si>
  <si>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</si>
  <si>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</si>
  <si>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</si>
  <si>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</si>
  <si>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</si>
  <si>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</si>
  <si>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</si>
  <si>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</si>
  <si>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</si>
  <si>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</si>
  <si>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</si>
  <si>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</si>
  <si>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</si>
  <si>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</si>
  <si>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</si>
  <si>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</si>
  <si>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</si>
  <si>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</si>
  <si>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</si>
  <si>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</si>
  <si>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</si>
  <si>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</si>
  <si>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</si>
  <si>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</si>
  <si>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</si>
  <si>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</si>
  <si>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</si>
  <si>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</si>
  <si>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</si>
  <si>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</si>
  <si>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</si>
  <si>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</si>
  <si>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</si>
  <si>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</si>
  <si>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</si>
  <si>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</si>
  <si>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</si>
  <si>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</si>
  <si>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</si>
  <si>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</si>
  <si>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</si>
  <si>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</si>
  <si>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</si>
  <si>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</si>
  <si>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</si>
  <si>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</si>
  <si>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</si>
  <si>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</si>
  <si>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</si>
  <si>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</si>
  <si>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</si>
  <si>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</si>
  <si>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</si>
  <si>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</si>
  <si>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</si>
  <si>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</si>
  <si>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</si>
  <si>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</si>
  <si>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</si>
  <si>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</si>
  <si>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</si>
  <si>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</si>
  <si>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</si>
  <si>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</si>
  <si>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</si>
  <si>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</si>
  <si>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</si>
  <si>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</si>
  <si>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</si>
  <si>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</si>
  <si>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</si>
  <si>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</si>
  <si>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</si>
  <si>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</si>
  <si>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</si>
  <si>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</si>
  <si>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</si>
  <si>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</si>
  <si>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</si>
  <si>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</si>
  <si>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</si>
  <si>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</si>
  <si>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</si>
  <si>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</si>
  <si>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</si>
  <si>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</si>
  <si>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</si>
  <si>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</si>
  <si>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</si>
  <si>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</si>
  <si>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</si>
  <si>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</si>
  <si>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</si>
  <si>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</si>
  <si>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</si>
  <si>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</si>
  <si>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</si>
  <si>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</si>
  <si>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</si>
  <si>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</si>
  <si>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</si>
  <si>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</si>
  <si>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</si>
  <si>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</si>
  <si>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</si>
  <si>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</si>
  <si>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</si>
  <si>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</si>
  <si>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</si>
  <si>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</si>
  <si>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</si>
  <si>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</si>
  <si>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</si>
  <si>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</si>
  <si>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</si>
  <si>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</si>
  <si>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</si>
  <si>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</si>
  <si>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</si>
  <si>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</si>
  <si>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</si>
  <si>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</si>
  <si>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</si>
  <si>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</si>
  <si>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</si>
  <si>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</si>
  <si>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</si>
  <si>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</si>
  <si>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</si>
  <si>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</si>
  <si>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</si>
  <si>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</si>
  <si>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</si>
  <si>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</si>
  <si>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</si>
  <si>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</si>
  <si>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</si>
  <si>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</si>
  <si>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</si>
  <si>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</si>
  <si>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</si>
  <si>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</si>
  <si>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</si>
  <si>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</si>
  <si>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</si>
  <si>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</si>
  <si>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</si>
  <si>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</si>
  <si>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</si>
  <si>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</si>
  <si>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</si>
  <si>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</si>
  <si>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</si>
  <si>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</si>
  <si>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</si>
  <si>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</si>
  <si>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</si>
  <si>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</si>
  <si>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</si>
  <si>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</si>
  <si>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</si>
  <si>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</si>
  <si>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</si>
  <si>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</si>
  <si>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</si>
  <si>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</si>
  <si>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</si>
  <si>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</si>
  <si>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</si>
  <si>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</si>
  <si>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</si>
  <si>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</si>
  <si>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</si>
  <si>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</si>
  <si>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</si>
  <si>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</si>
  <si>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</si>
  <si>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</si>
  <si>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</si>
  <si>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</si>
  <si>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</si>
  <si>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</si>
  <si>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</si>
  <si>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</si>
  <si>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</si>
  <si>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</si>
  <si>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</si>
  <si>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</si>
  <si>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</si>
  <si>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</si>
  <si>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</si>
  <si>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</si>
  <si>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</si>
  <si>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</si>
  <si>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</si>
  <si>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</si>
  <si>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</si>
  <si>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</si>
  <si>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</si>
  <si>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</si>
  <si>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</si>
  <si>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</si>
  <si>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</si>
  <si>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</si>
  <si>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</si>
  <si>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</si>
  <si>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</si>
  <si>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</si>
  <si>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</si>
  <si>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</si>
  <si>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</si>
  <si>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</si>
  <si>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</si>
  <si>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</si>
  <si>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</si>
  <si>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</si>
  <si>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</si>
  <si>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</si>
  <si>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</si>
  <si>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</si>
  <si>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</si>
  <si>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</si>
  <si>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</si>
  <si>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</si>
  <si>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</si>
  <si>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</si>
  <si>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</si>
  <si>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</si>
  <si>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</si>
  <si>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</si>
  <si>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</si>
  <si>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</si>
  <si>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</si>
  <si>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</si>
  <si>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</si>
  <si>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</si>
  <si>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</si>
  <si>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</si>
  <si>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</si>
  <si>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</si>
  <si>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</si>
  <si>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</si>
  <si>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</si>
  <si>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</si>
  <si>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</si>
  <si>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</si>
  <si>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</si>
  <si>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</si>
  <si>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</si>
  <si>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</si>
  <si>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</si>
  <si>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</si>
  <si>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</si>
  <si>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</si>
  <si>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</si>
  <si>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</si>
  <si>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</si>
  <si>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</si>
  <si>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</si>
  <si>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</si>
  <si>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</si>
  <si>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</si>
  <si>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</si>
  <si>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</si>
  <si>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</si>
  <si>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</si>
  <si>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</si>
  <si>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</si>
  <si>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</si>
  <si>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</si>
  <si>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</si>
  <si>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</si>
  <si>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</si>
  <si>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</si>
  <si>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</si>
  <si>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</si>
  <si>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</si>
  <si>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</si>
  <si>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</si>
  <si>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</si>
  <si>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</si>
  <si>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</si>
  <si>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</si>
  <si>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</si>
  <si>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</si>
  <si>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</si>
  <si>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</si>
  <si>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</si>
  <si>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</si>
  <si>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</si>
  <si>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</si>
  <si>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</si>
  <si>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</si>
  <si>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</si>
  <si>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</si>
  <si>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</si>
  <si>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</si>
  <si>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</si>
  <si>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</si>
  <si>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</si>
  <si>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</si>
  <si>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</si>
  <si>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</si>
  <si>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</si>
  <si>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</si>
  <si>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</si>
  <si>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</si>
  <si>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</si>
  <si>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</si>
  <si>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</si>
  <si>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</si>
  <si>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</si>
  <si>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</si>
  <si>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</si>
  <si>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</si>
  <si>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</si>
  <si>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</si>
  <si>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</si>
  <si>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</si>
  <si>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</si>
  <si>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</si>
  <si>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</si>
  <si>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</si>
  <si>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</si>
  <si>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</si>
  <si>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</si>
  <si>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</si>
  <si>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</si>
  <si>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</si>
  <si>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</si>
  <si>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</si>
  <si>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</si>
  <si>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</si>
  <si>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</si>
  <si>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</si>
  <si>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</si>
  <si>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</si>
  <si>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</si>
  <si>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</si>
  <si>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</si>
  <si>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</si>
  <si>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</si>
  <si>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</si>
  <si>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</si>
  <si>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</si>
  <si>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</si>
  <si>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</si>
  <si>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</si>
  <si>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</si>
  <si>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</si>
  <si>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</si>
  <si>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</si>
  <si>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</si>
  <si>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</si>
  <si>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</si>
  <si>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</si>
  <si>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</si>
  <si>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</si>
  <si>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</si>
  <si>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</si>
  <si>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</si>
  <si>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</si>
  <si>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</si>
  <si>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</si>
  <si>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</si>
  <si>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</si>
  <si>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</si>
  <si>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</si>
  <si>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</si>
  <si>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</si>
  <si>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</si>
  <si>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</si>
  <si>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</si>
  <si>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</si>
  <si>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</si>
  <si>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</si>
  <si>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</si>
  <si>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</si>
  <si>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</si>
  <si>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</si>
  <si>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</si>
  <si>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</si>
  <si>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</si>
  <si>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</si>
  <si>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</si>
  <si>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</si>
  <si>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</si>
  <si>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</si>
  <si>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</si>
  <si>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</si>
  <si>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</si>
  <si>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</si>
  <si>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</si>
  <si>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</si>
  <si>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</si>
  <si>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</si>
  <si>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</si>
  <si>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</si>
  <si>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</si>
  <si>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</si>
  <si>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</si>
  <si>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</si>
  <si>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</si>
  <si>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</si>
  <si>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</si>
  <si>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</si>
  <si>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</si>
  <si>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</si>
  <si>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</si>
  <si>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</si>
  <si>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</si>
  <si>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</si>
  <si>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</si>
  <si>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</si>
  <si>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</si>
  <si>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</si>
  <si>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</si>
  <si>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</si>
  <si>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</si>
  <si>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</si>
  <si>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</si>
  <si>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</si>
  <si>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</si>
  <si>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</si>
  <si>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</si>
  <si>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</si>
  <si>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</si>
  <si>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</si>
  <si>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</si>
  <si>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</si>
  <si>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</si>
  <si>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</si>
  <si>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</si>
  <si>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</si>
  <si>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</si>
  <si>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</si>
  <si>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</si>
  <si>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</si>
  <si>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</si>
  <si>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</si>
  <si>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</si>
  <si>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</si>
  <si>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</si>
  <si>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</si>
  <si>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</si>
  <si>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</si>
  <si>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</si>
  <si>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</si>
  <si>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</si>
  <si>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</si>
  <si>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</si>
  <si>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</si>
  <si>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</si>
  <si>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</si>
  <si>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</si>
  <si>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</si>
  <si>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</si>
  <si>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</si>
  <si>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</si>
  <si>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</si>
  <si>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</si>
  <si>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</si>
  <si>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</si>
  <si>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</si>
  <si>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</si>
  <si>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</si>
  <si>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</si>
  <si>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</si>
  <si>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</si>
  <si>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</si>
  <si>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</si>
  <si>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</si>
  <si>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</si>
  <si>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</si>
  <si>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</si>
  <si>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</si>
  <si>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</si>
  <si>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</si>
  <si>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</si>
  <si>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</si>
  <si>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</si>
  <si>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</si>
  <si>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</si>
  <si>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</si>
  <si>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</si>
  <si>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</si>
  <si>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</si>
  <si>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</si>
  <si>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</si>
  <si>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</si>
  <si>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</si>
  <si>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</si>
  <si>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</si>
  <si>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</si>
  <si>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</si>
  <si>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</si>
  <si>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</si>
  <si>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</si>
  <si>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</si>
  <si>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</si>
  <si>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</si>
  <si>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</si>
  <si>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</si>
  <si>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</si>
  <si>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</si>
  <si>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</si>
  <si>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</si>
  <si>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</si>
  <si>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</si>
  <si>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</si>
  <si>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</si>
  <si>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</si>
  <si>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</si>
  <si>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</si>
  <si>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</si>
  <si>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</si>
  <si>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</si>
  <si>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</si>
  <si>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</si>
  <si>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</si>
  <si>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</si>
  <si>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</si>
  <si>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</si>
  <si>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</si>
  <si>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</si>
  <si>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</si>
  <si>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</si>
  <si>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</si>
  <si>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</si>
  <si>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</si>
  <si>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</si>
  <si>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</si>
  <si>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</si>
  <si>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</si>
  <si>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</si>
  <si>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</si>
  <si>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</si>
  <si>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</si>
  <si>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</si>
  <si>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</si>
  <si>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</si>
  <si>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</si>
  <si>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</si>
  <si>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</si>
  <si>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</si>
  <si>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</si>
  <si>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</si>
  <si>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</si>
  <si>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</si>
  <si>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</si>
  <si>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</si>
  <si>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</si>
  <si>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</si>
  <si>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</si>
  <si>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</si>
  <si>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</si>
  <si>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</si>
  <si>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</si>
  <si>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</si>
  <si>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</si>
  <si>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</si>
  <si>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</si>
  <si>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</si>
  <si>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</si>
  <si>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See RAG guidance</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</si>
  <si>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</si>
  <si>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</si>
  <si>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</si>
  <si>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</si>
  <si>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</si>
  <si>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</si>
  <si>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</si>
  <si>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</si>
  <si>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</si>
  <si>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</si>
  <si>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</si>
  <si>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</si>
  <si>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</si>
  <si>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</si>
  <si>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</si>
  <si>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</si>
  <si>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</si>
  <si>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</si>
  <si>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</si>
  <si>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</si>
  <si>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</si>
  <si>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</si>
  <si>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</si>
  <si>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</si>
  <si>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</si>
  <si>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</si>
  <si>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</si>
  <si>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</si>
  <si>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</si>
  <si>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</si>
  <si>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</si>
  <si>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</si>
  <si>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</si>
  <si>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</si>
  <si>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</si>
  <si>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</si>
  <si>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</si>
  <si>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</si>
  <si>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</si>
  <si>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</si>
  <si>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</si>
  <si>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</si>
  <si>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</si>
  <si>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</si>
  <si>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</si>
  <si>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</si>
  <si>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</si>
  <si>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</si>
  <si>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</si>
  <si>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</si>
  <si>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</si>
  <si>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</si>
  <si>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</si>
  <si>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</si>
  <si>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</si>
  <si>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</si>
  <si>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</si>
  <si>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</si>
  <si>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</si>
  <si>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</si>
  <si>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</si>
  <si>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</si>
  <si>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</si>
  <si>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</si>
  <si>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</si>
  <si>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</si>
  <si>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</si>
  <si>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</si>
  <si>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</si>
  <si>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</si>
  <si>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</si>
  <si>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</si>
  <si>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</si>
  <si>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</si>
  <si>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</si>
  <si>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</si>
  <si>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</si>
  <si>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</si>
  <si>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</si>
  <si>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</si>
  <si>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</si>
  <si>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</si>
  <si>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</si>
  <si>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</si>
  <si>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</si>
  <si>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</si>
  <si>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</si>
  <si>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</si>
  <si>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</si>
  <si>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</si>
  <si>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</si>
  <si>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</si>
  <si>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</si>
  <si>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</si>
  <si>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</si>
  <si>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</si>
  <si>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</si>
  <si>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</si>
  <si>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</si>
  <si>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</si>
  <si>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</si>
  <si>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</si>
  <si>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</si>
  <si>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</si>
  <si>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</si>
  <si>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</si>
  <si>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</si>
  <si>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</si>
  <si>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</si>
  <si>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</si>
  <si>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</si>
  <si>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</si>
  <si>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</si>
  <si>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</si>
  <si>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</si>
  <si>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</si>
  <si>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</si>
  <si>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</si>
  <si>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</si>
  <si>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</si>
  <si>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</si>
  <si>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</si>
  <si>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</si>
  <si>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</si>
  <si>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</si>
  <si>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</si>
  <si>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</si>
  <si>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</si>
  <si>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</si>
  <si>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</si>
  <si>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</si>
  <si>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</si>
  <si>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</si>
  <si>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</si>
  <si>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</si>
  <si>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</si>
  <si>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</si>
  <si>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</si>
  <si>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</si>
  <si>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</si>
  <si>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</si>
  <si>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</si>
  <si>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</si>
  <si>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</si>
  <si>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</si>
  <si>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</si>
  <si>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</si>
  <si>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</si>
  <si>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</si>
  <si>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</si>
  <si>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</si>
  <si>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</si>
  <si>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</si>
  <si>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</si>
  <si>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</si>
  <si>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</si>
  <si>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</si>
  <si>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</si>
  <si>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</si>
  <si>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</si>
  <si>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</si>
  <si>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</si>
  <si>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</si>
  <si>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</si>
  <si>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</si>
  <si>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</si>
  <si>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</si>
  <si>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</si>
  <si>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</si>
  <si>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</si>
  <si>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</si>
  <si>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</si>
  <si>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</si>
  <si>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</si>
  <si>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</si>
  <si>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</si>
  <si>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</si>
  <si>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</si>
  <si>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</si>
  <si>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</si>
  <si>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</si>
  <si>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</si>
  <si>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</si>
  <si>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</si>
  <si>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</si>
  <si>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</si>
  <si>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</si>
  <si>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</si>
  <si>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</si>
  <si>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</si>
  <si>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</si>
  <si>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</si>
  <si>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</si>
  <si>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</si>
  <si>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</si>
  <si>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</si>
  <si>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</si>
  <si>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</si>
  <si>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</si>
  <si>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</si>
  <si>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</si>
  <si>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</si>
  <si>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</si>
  <si>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</si>
  <si>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</si>
  <si>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</si>
  <si>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</si>
  <si>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</si>
  <si>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</si>
  <si>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</si>
  <si>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</si>
  <si>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</si>
  <si>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</si>
  <si>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</si>
  <si>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</si>
  <si>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</si>
  <si>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</si>
  <si>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</si>
  <si>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</si>
  <si>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</si>
  <si>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</si>
  <si>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</si>
  <si>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</si>
  <si>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</si>
  <si>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</si>
  <si>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</si>
  <si>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</si>
  <si>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</si>
  <si>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</si>
  <si>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</si>
  <si>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</si>
  <si>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</si>
  <si>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</si>
  <si>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</si>
  <si>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</si>
  <si>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</si>
  <si>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</si>
  <si>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</si>
  <si>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</si>
  <si>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</si>
  <si>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</si>
  <si>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</si>
  <si>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</si>
  <si>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</si>
  <si>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</si>
  <si>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</si>
  <si>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</si>
  <si>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</si>
  <si>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</si>
  <si>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</si>
  <si>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</si>
  <si>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</si>
  <si>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</si>
  <si>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</si>
  <si>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</si>
  <si>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</si>
  <si>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</si>
  <si>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</si>
  <si>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</si>
  <si>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</si>
  <si>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</si>
  <si>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</si>
  <si>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</si>
  <si>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</si>
  <si>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</si>
  <si>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</si>
  <si>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</si>
  <si>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</si>
  <si>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</si>
  <si>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</si>
  <si>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</si>
  <si>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</si>
  <si>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</si>
  <si>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</si>
  <si>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</si>
  <si>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</si>
  <si>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</si>
  <si>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</si>
  <si>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</si>
  <si>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</si>
  <si>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</si>
  <si>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</si>
  <si>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</si>
  <si>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</si>
  <si>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</si>
  <si>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</si>
  <si>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</si>
  <si>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</si>
  <si>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</si>
  <si>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</si>
  <si>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</si>
  <si>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</si>
  <si>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</si>
  <si>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</si>
  <si>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</si>
  <si>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</si>
  <si>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</si>
  <si>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</si>
  <si>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</si>
  <si>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</si>
  <si>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</si>
  <si>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</si>
  <si>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</si>
  <si>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</si>
  <si>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</si>
  <si>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</si>
  <si>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</si>
  <si>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</si>
  <si>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</si>
  <si>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</si>
  <si>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</si>
  <si>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</si>
  <si>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</si>
  <si>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</si>
  <si>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</si>
  <si>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</si>
  <si>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</si>
  <si>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</si>
  <si>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</si>
  <si>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</si>
  <si>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</si>
  <si>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</si>
  <si>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</si>
  <si>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</si>
  <si>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</si>
  <si>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</si>
  <si>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</si>
  <si>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</si>
  <si>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</si>
  <si>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</si>
  <si>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</si>
  <si>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</si>
  <si>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</si>
  <si>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</si>
  <si>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</si>
  <si>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</si>
  <si>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</si>
  <si>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</si>
  <si>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</si>
  <si>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</si>
  <si>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</si>
  <si>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</si>
  <si>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</si>
  <si>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</si>
  <si>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</si>
  <si>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</si>
  <si>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</si>
  <si>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</si>
  <si>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</si>
  <si>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</si>
  <si>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</si>
  <si>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</si>
  <si>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</si>
  <si>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</si>
  <si>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</si>
  <si>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</si>
  <si>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</si>
  <si>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</si>
  <si>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</si>
  <si>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</si>
  <si>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</si>
  <si>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</si>
  <si>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</si>
  <si>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</si>
  <si>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</si>
  <si>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</si>
  <si>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</si>
  <si>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</si>
  <si>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</si>
  <si>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</si>
  <si>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</si>
  <si>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</si>
  <si>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</si>
  <si>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</si>
  <si>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</si>
  <si>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</si>
  <si>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</si>
  <si>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</si>
  <si>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</si>
  <si>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</si>
  <si>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</si>
  <si>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</si>
  <si>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</si>
  <si>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</si>
  <si>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</si>
  <si>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</si>
  <si>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</si>
  <si>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</si>
  <si>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</si>
  <si>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</si>
  <si>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</si>
  <si>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</si>
  <si>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</si>
  <si>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</si>
  <si>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</si>
  <si>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</si>
  <si>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</si>
  <si>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</si>
  <si>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</si>
  <si>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</si>
  <si>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</si>
  <si>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</si>
  <si>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</si>
  <si>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</si>
  <si>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</si>
  <si>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</si>
  <si>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</si>
  <si>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</si>
  <si>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</si>
  <si>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</si>
  <si>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</si>
  <si>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</si>
  <si>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</si>
  <si>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</si>
  <si>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</si>
  <si>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</si>
  <si>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</si>
  <si>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t>PR19UUW_HWDPC-WN</t>
  </si>
  <si>
    <t>DPC: Pre-procurement Incentive for the Haweswater Aqueduct Resilience Programme</t>
  </si>
  <si>
    <t>To incentivise the company to deliver a competitive procurement that maximises value for money to customers through the procurement process itself.</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</si>
  <si>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</si>
  <si>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</si>
  <si>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PR19IPD01_ODI-performance-model-v1.13 for 2024-25</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</si>
  <si>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</si>
  <si>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</si>
  <si>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RAG 4.13 - Guideline for the table definitions in the annual performance report.</t>
  </si>
  <si>
    <t>IN 25/02 Expectations for monopoly company annual performance reporting 2024-25.</t>
  </si>
  <si>
    <t>Ofwat changes post 2023 In-Period Determination</t>
  </si>
  <si>
    <t>SEW / IPD23</t>
  </si>
  <si>
    <t>Changed advised by SEW. Target updated by the Environment Agency.</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</si>
  <si>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</si>
  <si>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</si>
  <si>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PR19 ODI performance model for 2024-25</t>
  </si>
  <si>
    <t>W2.1</t>
  </si>
  <si>
    <t>W3.1</t>
  </si>
  <si>
    <t>W4.1</t>
  </si>
  <si>
    <t>W5.1</t>
  </si>
  <si>
    <t>W6.1</t>
  </si>
  <si>
    <t>W8.1</t>
  </si>
  <si>
    <t>W16.1</t>
  </si>
  <si>
    <t>W17.1</t>
  </si>
  <si>
    <t>W19.1</t>
  </si>
  <si>
    <t>W20.1</t>
  </si>
  <si>
    <t>W22.1</t>
  </si>
  <si>
    <t>W23.1</t>
  </si>
  <si>
    <t>W25.1</t>
  </si>
  <si>
    <t>W26.1</t>
  </si>
  <si>
    <t>W27.1</t>
  </si>
  <si>
    <t>SLPM – S1/1</t>
  </si>
  <si>
    <t>SLPM – S1/2</t>
  </si>
  <si>
    <t>SLPM - S2/2a</t>
  </si>
  <si>
    <t>SLPM – S4/1</t>
  </si>
  <si>
    <t>SLPM – S5/1a</t>
  </si>
  <si>
    <t>SLPM – S3</t>
  </si>
  <si>
    <t>WN1.1</t>
  </si>
  <si>
    <t>WN2.1</t>
  </si>
  <si>
    <t>WN2.2</t>
  </si>
  <si>
    <t>WN3.1</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</si>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</sst>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H11" dT="2025-10-06T08:29:24.83" personId="{00000000-0000-0000-0000-000000000000}" id="{F57622C3-5A6B-4089-8CDA-519082F6B028}">
    <text xml:space="preserve">Updated following SES 01) Company raised from 0.311 to 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C11" dT="2025-10-06T08:31:25.94" personId="{00000000-0000-0000-0000-000000000000}" id="{969CFABD-FE6A-4F9D-93FF-24077E2E1773}">
    <text>Updated following Ofwat query 01) Company raised from -2.086 to -2.242</text>
  </threadedComment>
</ThreadedComments>
</file>

<file path=xl/threadedComments/threadedComment3.xml><?xml version="1.0" encoding="utf-8"?>
<ThreadedComments xmlns="http://schemas.microsoft.com/office/spreadsheetml/2018/threadedcomments" xmlns:x="http://schemas.openxmlformats.org/spreadsheetml/2006/main">
  <threadedComment ref="L23" dT="2025-07-21T14:30:16.67" personId="{00000000-0000-0000-0000-000000000000}" id="{D5073D9F-5C89-438A-B34D-23594C20B835}">
    <text xml:space="preserve">Overridden performance payment to 0 </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25.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Normal="100" workbookViewId="0">
      <selection activeCell="C21" sqref="C21"/>
    </sheetView>
  </sheetViews>
  <sheetFormatPr defaultColWidth="0" defaultRowHeight="14" zeroHeight="1"/>
  <cols>
    <col min="1" max="1" width="2.58203125" style="1518" customWidth="1"/>
    <col min="2" max="2" width="2.08203125" style="1518" customWidth="1"/>
    <col min="3" max="3" width="133" style="165" customWidth="1"/>
    <col min="4" max="4" width="2.08203125" style="1518" customWidth="1"/>
    <col min="5" max="5" width="8.08203125" style="1518" customWidth="1"/>
    <col min="6" max="16384" width="9" style="1518" hidden="1"/>
  </cols>
  <sheetData>
    <row r="1" spans="2:4" ht="43.5">
      <c r="B1" s="2328" t="s">
        <v>5254</v>
      </c>
      <c r="C1" s="240"/>
      <c r="D1" s="240"/>
    </row>
    <row r="2" spans="2:4" ht="20.5" thickBot="1">
      <c r="B2" s="1519"/>
      <c r="C2" s="1518"/>
    </row>
    <row r="3" spans="2:4" ht="22">
      <c r="B3" s="1523" t="s">
        <v>0</v>
      </c>
      <c r="C3" s="1524"/>
      <c r="D3" s="1525"/>
    </row>
    <row r="4" spans="2:4" ht="74.25" customHeight="1">
      <c r="B4" s="1527"/>
      <c r="C4" s="1520" t="s">
        <v>5256</v>
      </c>
      <c r="D4" s="1526"/>
    </row>
    <row r="5" spans="2:4" ht="22">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5257</v>
      </c>
      <c r="D18" s="1526"/>
    </row>
    <row r="19" spans="2:5" ht="22">
      <c r="B19" s="1528" t="s">
        <v>14</v>
      </c>
      <c r="C19" s="1521"/>
      <c r="D19" s="1529"/>
    </row>
    <row r="20" spans="2:5" ht="30" customHeight="1">
      <c r="B20" s="1527"/>
      <c r="C20" s="1520" t="s">
        <v>5266</v>
      </c>
      <c r="D20" s="1526"/>
    </row>
    <row r="21" spans="2:5" ht="22">
      <c r="B21" s="1528" t="s">
        <v>15</v>
      </c>
      <c r="C21" s="1521"/>
      <c r="D21" s="1529"/>
    </row>
    <row r="22" spans="2:5" ht="45" customHeight="1">
      <c r="B22" s="1527"/>
      <c r="C22" s="1520" t="s">
        <v>5258</v>
      </c>
      <c r="D22" s="1526"/>
    </row>
    <row r="23" spans="2:5" ht="22">
      <c r="B23" s="1528" t="s">
        <v>16</v>
      </c>
      <c r="C23" s="1521"/>
      <c r="D23" s="1529"/>
    </row>
    <row r="24" spans="2:5" ht="20.25" customHeight="1">
      <c r="B24" s="1527"/>
      <c r="C24" s="2360" t="s">
        <v>5609</v>
      </c>
      <c r="D24" s="1526"/>
      <c r="E24" s="1825"/>
    </row>
    <row r="25" spans="2:5" ht="20.25" customHeight="1">
      <c r="B25" s="1527"/>
      <c r="C25" s="2370" t="s">
        <v>5608</v>
      </c>
      <c r="D25" s="1526"/>
    </row>
    <row r="26" spans="2:5" ht="20.25" customHeight="1">
      <c r="B26" s="1527"/>
      <c r="C26" s="2360" t="s">
        <v>5259</v>
      </c>
      <c r="D26" s="1526"/>
    </row>
    <row r="27" spans="2:5" ht="20.25" customHeight="1">
      <c r="B27" s="1527"/>
      <c r="C27" s="2360" t="s">
        <v>5260</v>
      </c>
      <c r="D27" s="1526"/>
    </row>
    <row r="28" spans="2:5" ht="20.25" customHeight="1" thickBot="1">
      <c r="B28" s="1530"/>
      <c r="C28" s="2005"/>
      <c r="D28" s="1531"/>
    </row>
    <row r="29" spans="2:5"/>
    <row r="30" spans="2:5"/>
    <row r="31" spans="2:5">
      <c r="C31" s="2224"/>
    </row>
    <row r="32" spans="2:5" ht="15.5">
      <c r="C32" s="1520"/>
    </row>
    <row r="33" spans="3:3" ht="15.5">
      <c r="C33" s="2004"/>
    </row>
    <row r="34" spans="3:3" ht="15.5">
      <c r="C34" s="2213"/>
    </row>
    <row r="35" spans="3:3" ht="15.5">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zoomScale="80" zoomScaleNormal="80" zoomScaleSheetLayoutView="100" workbookViewId="0">
      <selection activeCell="I46" sqref="I46"/>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29</v>
      </c>
      <c r="C1" s="2404"/>
      <c r="D1" s="2405"/>
      <c r="E1" s="2405"/>
      <c r="F1" s="6"/>
      <c r="G1" s="6"/>
      <c r="S1" s="1930"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SES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7">
        <f>$E$11</f>
        <v>3523.6</v>
      </c>
      <c r="F9" s="2168">
        <v>76</v>
      </c>
      <c r="G9" s="2169">
        <f>(F9 / E9) * 1000</f>
        <v>21.568850039732094</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5556</v>
      </c>
      <c r="AV9" s="1501" t="s">
        <v>5557</v>
      </c>
      <c r="AW9" s="344"/>
      <c r="AX9" s="2350"/>
      <c r="AY9" s="2350"/>
      <c r="AZ9" s="2350"/>
    </row>
    <row r="10" spans="2:55" s="21" customFormat="1" ht="29.25" customHeight="1" thickBot="1">
      <c r="B10" s="302" t="s">
        <v>363</v>
      </c>
      <c r="C10" s="302" t="s">
        <v>360</v>
      </c>
      <c r="D10" s="365" t="s">
        <v>361</v>
      </c>
      <c r="E10" s="2173">
        <f>$E$11</f>
        <v>3523.6</v>
      </c>
      <c r="F10" s="2168">
        <v>142</v>
      </c>
      <c r="G10" s="1809">
        <f>(F10 / E10) * 1000</f>
        <v>40.299693495288913</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5558</v>
      </c>
      <c r="AV10" s="1451" t="s">
        <v>5559</v>
      </c>
      <c r="AW10" s="345"/>
      <c r="AX10" s="2350"/>
      <c r="AY10" s="2350"/>
      <c r="AZ10" s="2350"/>
    </row>
    <row r="11" spans="2:55" s="21" customFormat="1" ht="29.25" customHeight="1" thickBot="1">
      <c r="B11" s="302" t="s">
        <v>115</v>
      </c>
      <c r="C11" s="302" t="s">
        <v>360</v>
      </c>
      <c r="D11" s="365" t="s">
        <v>361</v>
      </c>
      <c r="E11" s="2175">
        <v>3523.6</v>
      </c>
      <c r="F11" s="2170">
        <f>SUM(F9:F10)</f>
        <v>218</v>
      </c>
      <c r="G11" s="1809">
        <f>(F11 / E11) * 1000</f>
        <v>61.868543535021004</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5560</v>
      </c>
      <c r="AV11" s="1451" t="s">
        <v>5334</v>
      </c>
      <c r="AW11" s="345"/>
      <c r="AX11" s="2350"/>
      <c r="AY11" s="2350"/>
      <c r="AZ11" s="2350"/>
    </row>
    <row r="12" spans="2:55" s="21" customFormat="1" ht="53.25" customHeight="1">
      <c r="B12" s="302" t="s">
        <v>129</v>
      </c>
      <c r="C12" s="302" t="s">
        <v>366</v>
      </c>
      <c r="D12" s="1281" t="s">
        <v>367</v>
      </c>
      <c r="E12" s="2174">
        <v>745.27861000000007</v>
      </c>
      <c r="F12" s="2168">
        <v>109.08492245022831</v>
      </c>
      <c r="G12" s="1809">
        <f>ROUND((F12 / E12)*1000,1)</f>
        <v>146.4</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5561</v>
      </c>
      <c r="AU12" s="1458" t="s">
        <v>5551</v>
      </c>
      <c r="AV12" s="1451" t="s">
        <v>5562</v>
      </c>
      <c r="AW12" s="348"/>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5">
        <v>25.8</v>
      </c>
      <c r="E18" s="2225">
        <v>25</v>
      </c>
      <c r="F18" s="2225">
        <v>24.8</v>
      </c>
      <c r="G18" s="1811">
        <f>IFERROR(ROUND(AVERAGE(D18:F18),1),"")</f>
        <v>25.2</v>
      </c>
      <c r="H18" s="1810">
        <v>25</v>
      </c>
      <c r="I18" s="1810">
        <v>21.1</v>
      </c>
      <c r="J18" s="2312">
        <v>22.8</v>
      </c>
      <c r="K18" s="2313">
        <v>20.7</v>
      </c>
      <c r="L18" s="2316">
        <v>20</v>
      </c>
      <c r="M18" s="1929">
        <f>IFERROR(ROUND(AVERAGE($J18:$L18),1),"")</f>
        <v>21.2</v>
      </c>
      <c r="N18" s="1812">
        <f>IFERROR((1-M18/G18)*100,"")</f>
        <v>15.873015873015872</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5552</v>
      </c>
      <c r="AW18" s="1496"/>
      <c r="AX18" s="1497"/>
      <c r="AY18" s="1496"/>
      <c r="AZ18" s="1496"/>
      <c r="BA18" s="296" t="s">
        <v>5553</v>
      </c>
      <c r="BB18" s="1495" t="s">
        <v>5554</v>
      </c>
      <c r="BC18" s="1495" t="s">
        <v>5320</v>
      </c>
      <c r="BE18" s="2351"/>
      <c r="BG18" s="2351"/>
      <c r="BH18" s="2351"/>
      <c r="BI18" s="2351"/>
    </row>
    <row r="19" spans="2:61" s="21" customFormat="1" ht="25.5" customHeight="1">
      <c r="B19" s="302" t="s">
        <v>129</v>
      </c>
      <c r="C19" s="302" t="s">
        <v>366</v>
      </c>
      <c r="D19" s="2225">
        <v>146.80000000000001</v>
      </c>
      <c r="E19" s="2225">
        <v>156.9</v>
      </c>
      <c r="F19" s="2225">
        <v>143.30000000000001</v>
      </c>
      <c r="G19" s="1811">
        <f>IFERROR(ROUND(AVERAGE(D19:F19),1),"")</f>
        <v>149</v>
      </c>
      <c r="H19" s="1810">
        <v>163.4</v>
      </c>
      <c r="I19" s="1810">
        <v>151.5</v>
      </c>
      <c r="J19" s="2314">
        <v>150.80000000000001</v>
      </c>
      <c r="K19" s="2315">
        <v>146.4</v>
      </c>
      <c r="L19" s="2176">
        <f>$G$12</f>
        <v>146.4</v>
      </c>
      <c r="M19" s="1929">
        <f>IFERROR(ROUND(AVERAGE($J19:$L19),1),"")</f>
        <v>147.9</v>
      </c>
      <c r="N19" s="1812">
        <f>IFERROR((1-M19/G19)*100,"")</f>
        <v>0.7382550335570448</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5555</v>
      </c>
      <c r="AW19" s="1496"/>
      <c r="AX19" s="1497"/>
      <c r="AY19" s="1496"/>
      <c r="AZ19" s="1496"/>
      <c r="BA19" s="296" t="s">
        <v>5562</v>
      </c>
      <c r="BB19" s="1495" t="s">
        <v>5563</v>
      </c>
      <c r="BC19" s="1495"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99999999999999"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5167</v>
      </c>
      <c r="C25" s="302" t="s">
        <v>391</v>
      </c>
      <c r="D25" s="365" t="s">
        <v>392</v>
      </c>
      <c r="E25" s="2180">
        <v>311.45299999999997</v>
      </c>
      <c r="F25" s="2177">
        <v>5766.3986130000003</v>
      </c>
      <c r="G25" s="2178">
        <v>14361</v>
      </c>
      <c r="H25" s="2179">
        <f>F25 / (E25*1000)</f>
        <v>1.8514506564393345E-2</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5202</v>
      </c>
      <c r="AV25" s="1458" t="s">
        <v>5203</v>
      </c>
      <c r="AW25" s="1459" t="s">
        <v>5204</v>
      </c>
      <c r="AY25" s="2351"/>
      <c r="AZ25" s="2351"/>
      <c r="BA25" s="2351"/>
    </row>
    <row r="26" spans="2:61" s="9" customFormat="1" ht="16.399999999999999"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99999999999999"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5168</v>
      </c>
      <c r="C28" s="302" t="s">
        <v>391</v>
      </c>
      <c r="D28" s="365" t="s">
        <v>392</v>
      </c>
      <c r="E28" s="2186">
        <f>$E$25</f>
        <v>311.45299999999997</v>
      </c>
      <c r="F28" s="2177">
        <v>5125.472221</v>
      </c>
      <c r="G28" s="2178">
        <v>10643</v>
      </c>
      <c r="H28" s="2179">
        <f>F28 / (E28*1000)</f>
        <v>1.6456647458846119E-2</v>
      </c>
      <c r="I28" s="356"/>
      <c r="J28" s="356"/>
      <c r="K28" s="356"/>
      <c r="L28" s="356"/>
      <c r="M28" s="342"/>
      <c r="N28" s="26"/>
      <c r="O28" s="21"/>
      <c r="P28" s="286" t="s">
        <v>5171</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5205</v>
      </c>
      <c r="AV28" s="1458" t="s">
        <v>5206</v>
      </c>
      <c r="AW28" s="1459" t="s">
        <v>5207</v>
      </c>
      <c r="AX28" s="1345"/>
      <c r="AY28" s="1345"/>
      <c r="AZ28" s="1345"/>
      <c r="BA28" s="1345"/>
      <c r="BB28" s="1345"/>
      <c r="BC28" s="1345"/>
    </row>
    <row r="29" spans="2:61" s="9" customFormat="1" ht="16.399999999999999"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99999999999999"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5169</v>
      </c>
      <c r="C31" s="302" t="s">
        <v>391</v>
      </c>
      <c r="D31" s="365" t="s">
        <v>392</v>
      </c>
      <c r="E31" s="2186">
        <f>$E$25</f>
        <v>311.45299999999997</v>
      </c>
      <c r="F31" s="2177">
        <v>3915.8819440000002</v>
      </c>
      <c r="G31" s="2178">
        <v>5156</v>
      </c>
      <c r="H31" s="2179">
        <f>F31 / (E31*1000)</f>
        <v>1.2572946621159533E-2</v>
      </c>
      <c r="I31" s="356"/>
      <c r="J31" s="356"/>
      <c r="K31" s="356"/>
      <c r="L31" s="356"/>
      <c r="M31" s="342"/>
      <c r="N31" s="26"/>
      <c r="O31" s="21"/>
      <c r="P31" s="286" t="s">
        <v>5172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5212</v>
      </c>
      <c r="AV31" s="1458" t="s">
        <v>5213</v>
      </c>
      <c r="AW31" s="1459" t="s">
        <v>5208</v>
      </c>
      <c r="AX31" s="1345"/>
      <c r="AY31" s="1345"/>
      <c r="AZ31" s="1345"/>
      <c r="BA31" s="1345"/>
      <c r="BB31" s="1345"/>
      <c r="BC31" s="1345"/>
    </row>
    <row r="32" spans="2:61" s="9" customFormat="1" ht="16.399999999999999"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99999999999999"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5170</v>
      </c>
      <c r="C34" s="302" t="s">
        <v>391</v>
      </c>
      <c r="D34" s="365" t="s">
        <v>392</v>
      </c>
      <c r="E34" s="2186">
        <f>$E$25</f>
        <v>311.45299999999997</v>
      </c>
      <c r="F34" s="2177">
        <v>1583.3145830000001</v>
      </c>
      <c r="G34" s="2178">
        <v>880</v>
      </c>
      <c r="H34" s="2179">
        <f>F34 / (E34*1000)</f>
        <v>5.0836388893348277E-3</v>
      </c>
      <c r="I34" s="356"/>
      <c r="J34" s="356"/>
      <c r="K34" s="356"/>
      <c r="L34" s="356"/>
      <c r="M34" s="342"/>
      <c r="N34" s="26"/>
      <c r="O34" s="21"/>
      <c r="P34" s="286" t="s">
        <v>5173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5211</v>
      </c>
      <c r="AV34" s="1458" t="s">
        <v>5210</v>
      </c>
      <c r="AW34" s="1459" t="s">
        <v>5209</v>
      </c>
      <c r="AX34" s="1345"/>
      <c r="AY34" s="1345"/>
      <c r="AZ34" s="1345"/>
      <c r="BA34" s="1345"/>
      <c r="BB34" s="1345"/>
      <c r="BC34" s="1345"/>
    </row>
    <row r="35" spans="2:61" s="9" customFormat="1" ht="16.399999999999999"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99999999999999"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244.3</v>
      </c>
      <c r="D40" s="2359">
        <v>9.7899999999999991</v>
      </c>
      <c r="E40" s="2166">
        <f>D40/C40</f>
        <v>4.0073679901760126E-2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5199</v>
      </c>
      <c r="AS40" s="1504" t="s">
        <v>5200</v>
      </c>
      <c r="AT40" s="1505" t="s">
        <v>5201</v>
      </c>
      <c r="AV40" s="2351"/>
      <c r="AW40" s="2351"/>
      <c r="AX40" s="2351"/>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1">
        <v>292.86</v>
      </c>
      <c r="D46" s="2168">
        <v>46227</v>
      </c>
      <c r="E46" s="2182">
        <f>ROUND(D46/($C46*1000),3)</f>
        <v>0.158</v>
      </c>
      <c r="F46" s="2168">
        <v>17110</v>
      </c>
      <c r="G46" s="2178">
        <v>16030</v>
      </c>
      <c r="H46" s="2182">
        <f>ROUND(G46/$F46,3)</f>
        <v>0.93700000000000006</v>
      </c>
      <c r="I46" s="2178">
        <v>12357</v>
      </c>
      <c r="J46" s="2182">
        <f>ROUND(I46/$F46,3)</f>
        <v>0.72199999999999998</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5191</v>
      </c>
      <c r="AS46" s="1458" t="s">
        <v>5192</v>
      </c>
      <c r="AT46" s="1506" t="s">
        <v>5193</v>
      </c>
      <c r="AU46" s="1458" t="s">
        <v>5194</v>
      </c>
      <c r="AV46" s="1458" t="s">
        <v>5195</v>
      </c>
      <c r="AW46" s="1506" t="s">
        <v>5196</v>
      </c>
      <c r="AX46" s="1458" t="s">
        <v>5197</v>
      </c>
      <c r="AY46" s="1506" t="s">
        <v>5198</v>
      </c>
      <c r="BA46" s="2351"/>
      <c r="BB46" s="2351"/>
      <c r="BC46" s="2351"/>
      <c r="BD46" s="2351"/>
      <c r="BE46" s="2351"/>
      <c r="BF46" s="2351"/>
      <c r="BG46" s="2351"/>
      <c r="BH46" s="2351"/>
      <c r="BI46" s="2351"/>
    </row>
    <row r="47" spans="2:61" s="21" customFormat="1" ht="14.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5" thickBot="1">
      <c r="B52" s="2171"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31</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5561</v>
      </c>
      <c r="AU12" s="1461" t="s">
        <v>5551</v>
      </c>
      <c r="AV12" s="1462" t="s">
        <v>5562</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5190</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5552</v>
      </c>
      <c r="AW18" s="1463"/>
      <c r="AX18" s="1465"/>
      <c r="AY18" s="1463"/>
      <c r="AZ18" s="1463"/>
      <c r="BA18" s="1463" t="s">
        <v>5553</v>
      </c>
      <c r="BB18" s="1493" t="s">
        <v>5554</v>
      </c>
      <c r="BC18" s="1493" t="s">
        <v>5320</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5555</v>
      </c>
      <c r="AW19" s="1463"/>
      <c r="AX19" s="1466"/>
      <c r="AY19" s="1463"/>
      <c r="AZ19" s="1463"/>
      <c r="BA19" s="1463" t="s">
        <v>5562</v>
      </c>
      <c r="BB19" s="1493" t="s">
        <v>5563</v>
      </c>
      <c r="BC19" s="1493"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33</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5564</v>
      </c>
      <c r="AU12" s="1461" t="s">
        <v>5565</v>
      </c>
      <c r="AV12" s="1462" t="s">
        <v>5566</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5190</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5567</v>
      </c>
      <c r="AW18" s="1463"/>
      <c r="AX18" s="1465"/>
      <c r="AY18" s="1463"/>
      <c r="AZ18" s="1463"/>
      <c r="BA18" s="1463" t="s">
        <v>5569</v>
      </c>
      <c r="BB18" s="1493" t="s">
        <v>5570</v>
      </c>
      <c r="BC18" s="1493" t="s">
        <v>5573</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5568</v>
      </c>
      <c r="AW19" s="1463"/>
      <c r="AX19" s="1466"/>
      <c r="AY19" s="1463"/>
      <c r="AZ19" s="1463"/>
      <c r="BA19" s="1463" t="s">
        <v>5566</v>
      </c>
      <c r="BB19" s="1493" t="s">
        <v>5571</v>
      </c>
      <c r="BC19" s="1493" t="s">
        <v>5572</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SES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4" customHeight="1">
      <c r="B9" s="302" t="s">
        <v>412</v>
      </c>
      <c r="C9" s="287" t="str">
        <f>IF(OR($J$3="Select company",'Validation summary'!$F$3="WoC"),"",VLOOKUP('3A'!$R$1,C_ISF,2,0))</f>
        <v/>
      </c>
      <c r="D9" s="302" t="s">
        <v>413</v>
      </c>
      <c r="E9" s="365" t="s">
        <v>414</v>
      </c>
      <c r="F9" s="2186" t="str">
        <f>IF($C9="","",$F$11)</f>
        <v/>
      </c>
      <c r="G9" s="2308"/>
      <c r="H9" s="2160" t="str">
        <f>IF('Validation summary'!$F$3="WoC","",(G9/(F9*1000))*10000)</f>
        <v/>
      </c>
      <c r="J9" s="286" t="s">
        <v>415</v>
      </c>
      <c r="L9" s="319">
        <f>IF(SUM($W9:$Y9)=0,0,$W$6)</f>
        <v>0</v>
      </c>
      <c r="M9" s="331">
        <f>IF(SUM($AC9:$AE9)&lt;&gt;0,$AC$6,0)</f>
        <v>0</v>
      </c>
      <c r="N9" s="250"/>
      <c r="O9" s="2408"/>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5215</v>
      </c>
      <c r="AP9" s="1448" t="s">
        <v>5216</v>
      </c>
    </row>
    <row r="10" spans="2:42" s="21" customFormat="1" ht="55.4" customHeight="1" thickBot="1">
      <c r="B10" s="302" t="s">
        <v>416</v>
      </c>
      <c r="C10" s="287" t="str">
        <f>IF(OR($J$3="Select company",'Validation summary'!$F$3="WoC"),"",VLOOKUP('3A'!$R$1,C_ISF,2,0))</f>
        <v/>
      </c>
      <c r="D10" s="302" t="s">
        <v>413</v>
      </c>
      <c r="E10" s="365" t="s">
        <v>414</v>
      </c>
      <c r="F10" s="2194" t="str">
        <f>IF($C10="","",$F$11)</f>
        <v/>
      </c>
      <c r="G10" s="2308"/>
      <c r="H10" s="2160" t="str">
        <f>IF('Validation summary'!$F$3="WoC","",(G10/(F10*1000))*10000)</f>
        <v/>
      </c>
      <c r="J10" s="286" t="s">
        <v>417</v>
      </c>
      <c r="L10" s="319">
        <f>IF(SUM($W10:$Y10)=0,0,$W$6)</f>
        <v>0</v>
      </c>
      <c r="M10" s="331">
        <f t="shared" ref="M10:M13" si="1">IF(SUM($AC10:$AE10)&lt;&gt;0,$AC$6,0)</f>
        <v>0</v>
      </c>
      <c r="N10" s="250"/>
      <c r="O10" s="2408"/>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5217</v>
      </c>
      <c r="AP10" s="1448" t="s">
        <v>5218</v>
      </c>
    </row>
    <row r="11" spans="2:42" s="21" customFormat="1" ht="55.4" customHeight="1" thickBot="1">
      <c r="B11" s="302" t="s">
        <v>123</v>
      </c>
      <c r="C11" s="287" t="str">
        <f>IF(OR($J$3="Select company",'Validation summary'!$F$3="WoC"),"",VLOOKUP('3A'!$R$1,C_ISF,2,0))</f>
        <v/>
      </c>
      <c r="D11" s="302" t="s">
        <v>413</v>
      </c>
      <c r="E11" s="365" t="s">
        <v>414</v>
      </c>
      <c r="F11" s="2195" t="s">
        <v>5190</v>
      </c>
      <c r="G11" s="2187" t="str">
        <f>IF('Validation summary'!$F$3="WoC","",SUM(G9:G10))</f>
        <v/>
      </c>
      <c r="H11" s="2160" t="str">
        <f>IF('Validation summary'!$F$3="WoC","",(G11/(F11*1000))*10000)</f>
        <v/>
      </c>
      <c r="J11" s="286" t="s">
        <v>418</v>
      </c>
      <c r="L11" s="319">
        <f>IF(SUM($W11:$Y11)=0,0,$W$6)</f>
        <v>0</v>
      </c>
      <c r="M11" s="331">
        <f t="shared" si="1"/>
        <v>0</v>
      </c>
      <c r="N11" s="250"/>
      <c r="O11" s="2408"/>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5219</v>
      </c>
      <c r="AP11" s="1448" t="s">
        <v>5220</v>
      </c>
    </row>
    <row r="12" spans="2:42" s="21" customFormat="1" ht="55.4" customHeight="1" thickBot="1">
      <c r="B12" s="302" t="s">
        <v>124</v>
      </c>
      <c r="C12" s="287" t="str">
        <f>IF(OR($J$3="Select company",'Validation summary'!$F$3="WoC"),"",VLOOKUP('3A'!$R$1,C_PI,2,0))</f>
        <v/>
      </c>
      <c r="D12" s="302" t="s">
        <v>419</v>
      </c>
      <c r="E12" s="302" t="s">
        <v>420</v>
      </c>
      <c r="F12" s="2188"/>
      <c r="G12" s="2299"/>
      <c r="H12" s="2160" t="str">
        <f>IF('Validation summary'!$F$3="WoC","",(G12/F12*10000))</f>
        <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5221</v>
      </c>
      <c r="AO12" s="1470" t="s">
        <v>5222</v>
      </c>
      <c r="AP12" s="1448" t="s">
        <v>5223</v>
      </c>
    </row>
    <row r="13" spans="2:42" s="21" customFormat="1" ht="55.4" customHeight="1" thickBot="1">
      <c r="B13" s="302" t="s">
        <v>125</v>
      </c>
      <c r="C13" s="287" t="str">
        <f>IF(OR($J$3="Select company",'Validation summary'!$F$3="WoC"),"",VLOOKUP('3A'!$R$1,C_SC,2,0))</f>
        <v/>
      </c>
      <c r="D13" s="302" t="s">
        <v>422</v>
      </c>
      <c r="E13" s="365" t="s">
        <v>420</v>
      </c>
      <c r="F13" s="2195" t="s">
        <v>5190</v>
      </c>
      <c r="G13" s="2308"/>
      <c r="H13" s="2160" t="str">
        <f>IF('Validation summary'!$F$3="WoC","",(G13/F13*1000))</f>
        <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5224</v>
      </c>
      <c r="AO13" s="1470" t="s">
        <v>5225</v>
      </c>
      <c r="AP13" s="1448" t="s">
        <v>5226</v>
      </c>
    </row>
    <row r="14" spans="2:42" s="9" customFormat="1" ht="14.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5">
      <c r="V16" s="1347"/>
      <c r="W16" s="327"/>
      <c r="X16" s="327"/>
      <c r="Y16" s="327"/>
      <c r="Z16" s="327"/>
      <c r="AA16" s="327"/>
      <c r="AB16" s="315"/>
      <c r="AC16" s="315"/>
      <c r="AD16" s="315"/>
      <c r="AE16" s="315"/>
      <c r="AF16" s="328"/>
      <c r="AG16" s="315"/>
      <c r="AH16" s="1347"/>
    </row>
    <row r="17" spans="2:34" ht="15.5">
      <c r="B17" s="1802" t="s">
        <v>193</v>
      </c>
      <c r="V17" s="1347"/>
      <c r="W17" s="327"/>
      <c r="X17" s="327"/>
      <c r="Y17" s="327"/>
      <c r="Z17" s="327"/>
      <c r="AA17" s="327"/>
      <c r="AB17" s="315"/>
      <c r="AC17" s="315"/>
      <c r="AD17" s="315"/>
      <c r="AE17" s="315"/>
      <c r="AF17" s="328"/>
      <c r="AG17" s="315"/>
      <c r="AH17" s="1347"/>
    </row>
    <row r="18" spans="2:34" ht="16" thickBot="1">
      <c r="V18" s="1347"/>
      <c r="W18" s="327"/>
      <c r="X18" s="327"/>
      <c r="Y18" s="327"/>
      <c r="Z18" s="327"/>
      <c r="AA18" s="327"/>
      <c r="AB18" s="315"/>
      <c r="AC18" s="315"/>
      <c r="AD18" s="315"/>
      <c r="AE18" s="315"/>
      <c r="AF18" s="328"/>
      <c r="AG18" s="315"/>
      <c r="AH18" s="1347"/>
    </row>
    <row r="19" spans="2:34" ht="26.5" thickBot="1">
      <c r="B19" s="2171" t="s">
        <v>194</v>
      </c>
      <c r="V19" s="1347"/>
      <c r="W19" s="327"/>
      <c r="X19" s="327"/>
      <c r="Y19" s="327"/>
      <c r="Z19" s="327"/>
      <c r="AA19" s="327"/>
      <c r="AB19" s="315"/>
      <c r="AC19" s="315"/>
      <c r="AD19" s="315"/>
      <c r="AE19" s="315"/>
      <c r="AF19" s="328"/>
      <c r="AG19" s="315"/>
      <c r="AH19" s="1347"/>
    </row>
    <row r="20" spans="2:34" ht="15.5">
      <c r="V20" s="1347"/>
      <c r="W20" s="327"/>
      <c r="X20" s="327"/>
      <c r="Y20" s="327"/>
      <c r="Z20" s="327"/>
      <c r="AA20" s="327"/>
      <c r="AB20" s="315"/>
      <c r="AC20" s="315"/>
      <c r="AD20" s="315"/>
      <c r="AE20" s="315"/>
      <c r="AF20" s="328"/>
      <c r="AG20" s="315"/>
      <c r="AH20" s="1347"/>
    </row>
    <row r="21" spans="2:34" ht="15.5">
      <c r="B21" s="1803" t="s">
        <v>195</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804" t="s">
        <v>196</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C11" sqref="C11"/>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4" customHeight="1">
      <c r="B2" s="7"/>
      <c r="C2" s="7"/>
      <c r="V2" s="312"/>
      <c r="AB2" s="312"/>
      <c r="AH2" s="312"/>
    </row>
    <row r="3" spans="2:37" s="9" customFormat="1" ht="31.5" customHeight="1">
      <c r="B3" s="289" t="s">
        <v>424</v>
      </c>
      <c r="C3" s="289"/>
      <c r="D3" s="289"/>
      <c r="E3" s="289"/>
      <c r="F3" s="1655"/>
      <c r="G3" s="301" t="str">
        <f>'Validation summary'!$B$3</f>
        <v>SES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-1.0115000000000001E-2</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5574</v>
      </c>
    </row>
    <row r="11" spans="2:37" s="9" customFormat="1" ht="20.25" customHeight="1">
      <c r="B11" s="282" t="s">
        <v>432</v>
      </c>
      <c r="C11" s="1807">
        <f>'Model outputs - Aggregate level'!$F41</f>
        <v>-2.2418983333333333</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5575</v>
      </c>
    </row>
    <row r="12" spans="2:37" s="9" customFormat="1" ht="20.25" customHeight="1">
      <c r="B12" s="282" t="s">
        <v>434</v>
      </c>
      <c r="C12" s="1807">
        <f>'Model outputs - Aggregate level'!$F42</f>
        <v>0</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5576</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5577</v>
      </c>
    </row>
    <row r="14" spans="2:37" s="9" customFormat="1" ht="20.25" customHeight="1">
      <c r="B14" s="282" t="s">
        <v>438</v>
      </c>
      <c r="C14" s="1807">
        <f>'Model outputs - Aggregate level'!$F44</f>
        <v>5.0610000000000044E-2</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5578</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5579</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5580</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0</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5581</v>
      </c>
    </row>
    <row r="20" spans="2:37" s="9" customFormat="1" ht="20.25" customHeight="1">
      <c r="B20" s="282" t="s">
        <v>432</v>
      </c>
      <c r="C20" s="1807">
        <f>'Model outputs - Aggregate level'!$F50</f>
        <v>-0.76560000000000006</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5582</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5583</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5584</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5585</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5586</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5587</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5588</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5589</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5590</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5591</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5592</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5593</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5594</v>
      </c>
    </row>
    <row r="35" spans="2:37" s="9" customFormat="1" ht="14.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5" thickBot="1"/>
    <row r="40" spans="2:37" ht="14.5" thickBot="1">
      <c r="B40" s="2171" t="s">
        <v>194</v>
      </c>
    </row>
    <row r="41" spans="2:37"/>
    <row r="42" spans="2:37">
      <c r="B42" s="1803" t="s">
        <v>195</v>
      </c>
    </row>
    <row r="43" spans="2:37"/>
    <row r="44" spans="2:37">
      <c r="B44" s="1804" t="s">
        <v>196</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zoomScale="80" zoomScaleNormal="80" zoomScaleSheetLayoutView="100" workbookViewId="0">
      <selection activeCell="P30" sqref="P30"/>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38</v>
      </c>
      <c r="C1" s="6"/>
      <c r="D1" s="2014"/>
      <c r="F1" s="2417"/>
      <c r="G1" s="2417"/>
      <c r="H1" s="2417"/>
      <c r="Q1" s="1930"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SES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244.3</v>
      </c>
      <c r="D9" s="2192">
        <v>2.27</v>
      </c>
      <c r="E9" s="2193">
        <f>(D9/C9)</f>
        <v>9.2918542775276298E-3</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5227</v>
      </c>
      <c r="AV9" s="2189" t="s">
        <v>5228</v>
      </c>
      <c r="AW9" s="2190" t="s">
        <v>5229</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v>192.55</v>
      </c>
      <c r="D15" s="2192">
        <v>4.47</v>
      </c>
      <c r="E15" s="2192">
        <v>161.04</v>
      </c>
      <c r="F15" s="2192">
        <v>8.25</v>
      </c>
      <c r="G15" s="2192">
        <v>753.62</v>
      </c>
      <c r="H15" s="2192">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5230</v>
      </c>
      <c r="AV15" s="2189" t="s">
        <v>5231</v>
      </c>
      <c r="AW15" s="2189" t="s">
        <v>5232</v>
      </c>
      <c r="AX15" s="2189" t="s">
        <v>5233</v>
      </c>
      <c r="AY15" s="2189" t="s">
        <v>5234</v>
      </c>
      <c r="AZ15" s="2189" t="s">
        <v>5235</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99" t="s">
        <v>137</v>
      </c>
      <c r="C18" s="2399" t="s">
        <v>473</v>
      </c>
      <c r="D18" s="2399" t="s">
        <v>474</v>
      </c>
      <c r="E18" s="2399" t="s">
        <v>475</v>
      </c>
      <c r="F18" s="2399" t="s">
        <v>476</v>
      </c>
      <c r="G18" s="2399" t="s">
        <v>477</v>
      </c>
      <c r="H18" s="2399" t="s">
        <v>478</v>
      </c>
      <c r="I18" s="2399" t="s">
        <v>479</v>
      </c>
      <c r="J18" s="2399" t="s">
        <v>480</v>
      </c>
      <c r="K18" s="2399"/>
      <c r="L18" s="2399"/>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9" t="str">
        <f>J18</f>
        <v>Vulnerability risk grade</v>
      </c>
      <c r="BC18" s="2420"/>
      <c r="BD18" s="2421"/>
    </row>
    <row r="19" spans="2:56" s="9" customFormat="1" ht="30" customHeight="1">
      <c r="B19" s="2399"/>
      <c r="C19" s="2399"/>
      <c r="D19" s="2399"/>
      <c r="E19" s="2399"/>
      <c r="F19" s="2399"/>
      <c r="G19" s="2399"/>
      <c r="H19" s="2399"/>
      <c r="I19" s="2399"/>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18"/>
      <c r="AU19" s="2418"/>
      <c r="AV19" s="2418"/>
      <c r="AW19" s="2418"/>
      <c r="AX19" s="2418"/>
      <c r="AY19" s="2418"/>
      <c r="AZ19" s="2418"/>
      <c r="BA19" s="2418"/>
      <c r="BB19" s="1286" t="str">
        <f t="shared" ref="BB19:BD19" si="3">J19</f>
        <v>Low</v>
      </c>
      <c r="BC19" s="1286" t="str">
        <f t="shared" si="3"/>
        <v>Medium</v>
      </c>
      <c r="BD19" s="1286" t="str">
        <f t="shared" si="3"/>
        <v>High</v>
      </c>
    </row>
    <row r="20" spans="2:56" s="9" customFormat="1" ht="34.5" customHeight="1">
      <c r="B20" s="2399"/>
      <c r="C20" s="2399"/>
      <c r="D20" s="2399"/>
      <c r="E20" s="2399"/>
      <c r="F20" s="2399"/>
      <c r="G20" s="2399"/>
      <c r="H20" s="2399"/>
      <c r="I20" s="2399"/>
      <c r="J20" s="2399" t="s">
        <v>484</v>
      </c>
      <c r="K20" s="2399"/>
      <c r="L20" s="2399"/>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3"/>
      <c r="AU20" s="2403"/>
      <c r="AV20" s="2403"/>
      <c r="AW20" s="2403"/>
      <c r="AX20" s="2403"/>
      <c r="AY20" s="2403"/>
      <c r="AZ20" s="2403"/>
      <c r="BA20" s="2403"/>
      <c r="BB20" s="2419" t="str">
        <f>J20</f>
        <v>Percentage of total population served</v>
      </c>
      <c r="BC20" s="2420"/>
      <c r="BD20" s="2421"/>
    </row>
    <row r="21" spans="2:56" s="9" customFormat="1" ht="15.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9"/>
      <c r="D23" s="2299"/>
      <c r="E23" s="2193" t="str">
        <f>IF('Validation summary'!$F$3="WoC","",(D23/$C23))</f>
        <v/>
      </c>
      <c r="F23" s="2299"/>
      <c r="G23" s="2193" t="str">
        <f>IF('Validation summary'!$F$3="WoC","",(F23/$C23))</f>
        <v/>
      </c>
      <c r="H23" s="2299"/>
      <c r="I23" s="2193" t="str">
        <f>IF('Validation summary'!$F$3="WoC","",(H23/$C23))</f>
        <v/>
      </c>
      <c r="J23" s="2309"/>
      <c r="K23" s="2309"/>
      <c r="L23" s="2309"/>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5236</v>
      </c>
      <c r="AV23" s="2189" t="s">
        <v>5237</v>
      </c>
      <c r="AW23" s="2190" t="s">
        <v>5238</v>
      </c>
      <c r="AX23" s="2189" t="s">
        <v>5239</v>
      </c>
      <c r="AY23" s="2190" t="s">
        <v>5240</v>
      </c>
      <c r="AZ23" s="2189" t="s">
        <v>5241</v>
      </c>
      <c r="BA23" s="2190" t="s">
        <v>5242</v>
      </c>
      <c r="BB23" s="2191" t="s">
        <v>5243</v>
      </c>
      <c r="BC23" s="2191" t="s">
        <v>5244</v>
      </c>
      <c r="BD23" s="2191" t="s">
        <v>5245</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9"/>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5246</v>
      </c>
      <c r="AV29" s="33"/>
      <c r="AW29" s="33"/>
      <c r="AX29" s="33"/>
      <c r="AY29" s="33"/>
      <c r="AZ29" s="33"/>
      <c r="BA29" s="26"/>
      <c r="BB29" s="1342"/>
      <c r="BC29" s="1342"/>
      <c r="BD29" s="1342"/>
    </row>
    <row r="30" spans="2:56" s="9" customFormat="1" ht="16.399999999999999"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09" t="s">
        <v>193</v>
      </c>
      <c r="C33" s="2410"/>
    </row>
    <row r="34" spans="2:3" ht="14.5" thickBot="1"/>
    <row r="35" spans="2:3" ht="14.5" thickBot="1">
      <c r="B35" s="2411" t="s">
        <v>194</v>
      </c>
      <c r="C35" s="2412"/>
    </row>
    <row r="36" spans="2:3"/>
    <row r="37" spans="2:3">
      <c r="B37" s="2413" t="s">
        <v>195</v>
      </c>
      <c r="C37" s="2414"/>
    </row>
    <row r="38" spans="2:3"/>
    <row r="39" spans="2:3">
      <c r="B39" s="2415" t="s">
        <v>196</v>
      </c>
      <c r="C39" s="2416"/>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68" customFormat="1" ht="44" thickBot="1">
      <c r="A1" s="2319"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489</v>
      </c>
      <c r="B3" s="389" t="s">
        <v>5615</v>
      </c>
      <c r="C3" s="162"/>
      <c r="D3" s="162"/>
      <c r="E3" s="162"/>
      <c r="F3" s="162"/>
    </row>
    <row r="4" spans="1:6" ht="22">
      <c r="A4" s="388" t="s">
        <v>490</v>
      </c>
      <c r="B4" s="2016">
        <v>1.1299999999999999</v>
      </c>
      <c r="C4" s="162"/>
      <c r="D4" s="162"/>
      <c r="E4" s="162"/>
      <c r="F4" s="162"/>
    </row>
    <row r="5" spans="1:6" ht="22">
      <c r="A5" s="388" t="s">
        <v>491</v>
      </c>
      <c r="B5" s="389" t="s">
        <v>5605</v>
      </c>
      <c r="C5" s="162"/>
      <c r="D5" s="162"/>
      <c r="E5" s="162"/>
      <c r="F5" s="162"/>
    </row>
    <row r="6" spans="1:6" ht="22">
      <c r="A6" s="388" t="s">
        <v>492</v>
      </c>
      <c r="B6" s="1938">
        <v>45808</v>
      </c>
      <c r="C6" s="162"/>
      <c r="D6" s="162"/>
      <c r="E6" s="162"/>
      <c r="F6" s="162"/>
    </row>
    <row r="7" spans="1:6" ht="22">
      <c r="A7" s="388" t="s">
        <v>493</v>
      </c>
      <c r="B7" s="388" t="s">
        <v>494</v>
      </c>
      <c r="C7" s="162"/>
      <c r="D7" s="162"/>
      <c r="E7" s="162"/>
      <c r="F7" s="162"/>
    </row>
    <row r="8" spans="1:6" ht="22">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23" t="s">
        <v>5268</v>
      </c>
      <c r="C11" s="2423"/>
      <c r="D11" s="2423"/>
      <c r="E11" s="2423"/>
    </row>
    <row r="12" spans="1:6" ht="42" customHeight="1">
      <c r="A12" s="401" t="s">
        <v>498</v>
      </c>
      <c r="B12" s="2429" t="s">
        <v>5301</v>
      </c>
      <c r="C12" s="2429"/>
      <c r="D12" s="2429"/>
      <c r="E12" s="2429"/>
    </row>
    <row r="13" spans="1:6" ht="121.5" customHeight="1">
      <c r="A13" s="401" t="s">
        <v>499</v>
      </c>
      <c r="B13" s="2424" t="s">
        <v>5255</v>
      </c>
      <c r="C13" s="2424"/>
      <c r="D13" s="2424"/>
      <c r="E13" s="2424"/>
    </row>
    <row r="14" spans="1:6" ht="126" customHeight="1">
      <c r="A14" s="401"/>
      <c r="B14" s="2425" t="s">
        <v>5262</v>
      </c>
      <c r="C14" s="2425"/>
      <c r="D14" s="2425"/>
      <c r="E14" s="2425"/>
    </row>
    <row r="15" spans="1:6" ht="296.25" customHeight="1">
      <c r="A15" s="401"/>
      <c r="B15" s="2426" t="s">
        <v>5597</v>
      </c>
      <c r="C15" s="2426"/>
      <c r="D15" s="2426"/>
      <c r="E15" s="2426"/>
    </row>
    <row r="16" spans="1:6" ht="73.5" customHeight="1">
      <c r="A16" s="401"/>
      <c r="B16" s="2427" t="s">
        <v>5269</v>
      </c>
      <c r="C16" s="2427"/>
      <c r="D16" s="2427"/>
      <c r="E16" s="2427"/>
    </row>
    <row r="17" spans="1:1024 1028:2048 2052:3072 3076:4096 4100:5120 5124:6144 6148:7168 7172:8192 8196:9216 9220:10240 10244:11264 11268:12288 12292:13312 13316:14336 14340:15360 15364:16380" s="165" customFormat="1" ht="22">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28" t="s">
        <v>5253</v>
      </c>
      <c r="C18" s="2428"/>
      <c r="D18" s="2428"/>
      <c r="E18" s="2428"/>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
      <c r="A22" s="400" t="s">
        <v>507</v>
      </c>
      <c r="B22" s="400" t="s">
        <v>508</v>
      </c>
      <c r="C22" s="400" t="s">
        <v>509</v>
      </c>
      <c r="D22" s="163"/>
    </row>
    <row r="23" spans="1:1024 1028:2048 2052:3072 3076:4096 4100:5120 5124:6144 6148:7168 7172:8192 8196:9216 9220:10240 10244:11264 11268:12288 12292:13312 13316:14336 14340:15360 15364:16380" s="165" customFormat="1" ht="39">
      <c r="A23" s="400" t="s">
        <v>510</v>
      </c>
      <c r="B23" s="400" t="s">
        <v>511</v>
      </c>
      <c r="C23" s="400" t="s">
        <v>512</v>
      </c>
      <c r="D23" s="163"/>
    </row>
    <row r="24" spans="1:1024 1028:2048 2052:3072 3076:4096 4100:5120 5124:6144 6148:7168 7172:8192 8196:9216 9220:10240 10244:11264 11268:12288 12292:13312 13316:14336 14340:15360 15364:16380" s="165" customFormat="1" ht="2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6">
      <c r="A26" s="400" t="s">
        <v>510</v>
      </c>
      <c r="B26" s="400" t="s">
        <v>516</v>
      </c>
      <c r="C26" s="400" t="s">
        <v>517</v>
      </c>
      <c r="D26" s="163"/>
    </row>
    <row r="27" spans="1:1024 1028:2048 2052:3072 3076:4096 4100:5120 5124:6144 6148:7168 7172:8192 8196:9216 9220:10240 10244:11264 11268:12288 12292:13312 13316:14336 14340:15360 15364:16380" s="165" customFormat="1" ht="78">
      <c r="A27" s="400" t="s">
        <v>507</v>
      </c>
      <c r="B27" s="400" t="s">
        <v>518</v>
      </c>
      <c r="C27" s="400" t="s">
        <v>517</v>
      </c>
      <c r="D27" s="163"/>
    </row>
    <row r="28" spans="1:1024 1028:2048 2052:3072 3076:4096 4100:5120 5124:6144 6148:7168 7172:8192 8196:9216 9220:10240 10244:11264 11268:12288 12292:13312 13316:14336 14340:15360 15364:16380" s="165" customFormat="1" ht="14">
      <c r="A28" s="400" t="s">
        <v>510</v>
      </c>
      <c r="B28" s="400" t="s">
        <v>519</v>
      </c>
      <c r="C28" s="400" t="s">
        <v>512</v>
      </c>
      <c r="D28" s="163"/>
    </row>
    <row r="29" spans="1:1024 1028:2048 2052:3072 3076:4096 4100:5120 5124:6144 6148:7168 7172:8192 8196:9216 9220:10240 10244:11264 11268:12288 12292:13312 13316:14336 14340:15360 15364:16380" s="165" customFormat="1" ht="26">
      <c r="A29" s="400" t="s">
        <v>510</v>
      </c>
      <c r="B29" s="400" t="s">
        <v>520</v>
      </c>
      <c r="C29" s="400" t="s">
        <v>517</v>
      </c>
      <c r="D29" s="163"/>
    </row>
    <row r="30" spans="1:1024 1028:2048 2052:3072 3076:4096 4100:5120 5124:6144 6148:7168 7172:8192 8196:9216 9220:10240 10244:11264 11268:12288 12292:13312 13316:14336 14340:15360 15364:16380" s="165" customFormat="1" ht="39">
      <c r="A30" s="400" t="s">
        <v>507</v>
      </c>
      <c r="B30" s="400" t="s">
        <v>521</v>
      </c>
      <c r="C30" s="400" t="s">
        <v>522</v>
      </c>
      <c r="D30" s="163"/>
    </row>
    <row r="31" spans="1:1024 1028:2048 2052:3072 3076:4096 4100:5120 5124:6144 6148:7168 7172:8192 8196:9216 9220:10240 10244:11264 11268:12288 12292:13312 13316:14336 14340:15360 15364:16380" s="165" customFormat="1" ht="26">
      <c r="A31" s="399" t="s">
        <v>507</v>
      </c>
      <c r="B31" s="399" t="s">
        <v>523</v>
      </c>
      <c r="C31" s="399" t="s">
        <v>524</v>
      </c>
      <c r="D31" s="163"/>
    </row>
    <row r="32" spans="1:1024 1028:2048 2052:3072 3076:4096 4100:5120 5124:6144 6148:7168 7172:8192 8196:9216 9220:10240 10244:11264 11268:12288 12292:13312 13316:14336 14340:15360 15364:16380" s="165" customFormat="1" ht="14">
      <c r="A32" s="396" t="s">
        <v>525</v>
      </c>
      <c r="B32" s="396" t="s">
        <v>526</v>
      </c>
      <c r="C32" s="396" t="s">
        <v>524</v>
      </c>
      <c r="D32" s="163"/>
    </row>
    <row r="33" spans="1:16383" s="165" customFormat="1" ht="87.75" customHeight="1">
      <c r="A33" s="396" t="s">
        <v>510</v>
      </c>
      <c r="B33" s="396" t="s">
        <v>527</v>
      </c>
      <c r="C33" s="396" t="s">
        <v>512</v>
      </c>
      <c r="D33" s="163"/>
    </row>
    <row r="34" spans="1:16383" s="165" customFormat="1" ht="14">
      <c r="A34" s="396" t="s">
        <v>525</v>
      </c>
      <c r="B34" s="396" t="s">
        <v>528</v>
      </c>
      <c r="C34" s="396" t="s">
        <v>529</v>
      </c>
      <c r="D34" s="163"/>
    </row>
    <row r="35" spans="1:16383" s="165" customFormat="1" ht="39">
      <c r="A35" s="396" t="s">
        <v>510</v>
      </c>
      <c r="B35" s="396" t="s">
        <v>530</v>
      </c>
      <c r="C35" s="396" t="s">
        <v>531</v>
      </c>
      <c r="D35" s="163"/>
    </row>
    <row r="36" spans="1:16383" s="165" customFormat="1" ht="41.25" customHeight="1">
      <c r="A36" s="396" t="s">
        <v>510</v>
      </c>
      <c r="B36" s="396" t="s">
        <v>532</v>
      </c>
      <c r="C36" s="396" t="s">
        <v>531</v>
      </c>
      <c r="D36" s="163"/>
    </row>
    <row r="37" spans="1:16383" s="165" customFormat="1" ht="14">
      <c r="A37" s="397" t="s">
        <v>507</v>
      </c>
      <c r="B37" s="397" t="s">
        <v>533</v>
      </c>
      <c r="C37" s="397" t="s">
        <v>534</v>
      </c>
      <c r="D37" s="163"/>
    </row>
    <row r="38" spans="1:16383" s="165" customFormat="1" ht="39">
      <c r="A38" s="397" t="s">
        <v>525</v>
      </c>
      <c r="B38" s="397" t="s">
        <v>535</v>
      </c>
      <c r="C38" s="397" t="s">
        <v>522</v>
      </c>
      <c r="D38" s="163"/>
    </row>
    <row r="39" spans="1:16383" s="165" customFormat="1" ht="14">
      <c r="A39" s="1322" t="s">
        <v>507</v>
      </c>
      <c r="B39" s="1322" t="s">
        <v>536</v>
      </c>
      <c r="C39" s="1322" t="s">
        <v>524</v>
      </c>
      <c r="D39" s="163"/>
    </row>
    <row r="40" spans="1:16383" s="165" customFormat="1" ht="14">
      <c r="A40" s="1322" t="s">
        <v>510</v>
      </c>
      <c r="B40" s="1322" t="s">
        <v>537</v>
      </c>
      <c r="C40" s="1322" t="s">
        <v>524</v>
      </c>
      <c r="D40" s="163"/>
    </row>
    <row r="41" spans="1:16383" s="165" customFormat="1" ht="14">
      <c r="A41" s="1322" t="s">
        <v>525</v>
      </c>
      <c r="B41" s="1322" t="s">
        <v>538</v>
      </c>
      <c r="C41" s="1322" t="s">
        <v>524</v>
      </c>
      <c r="D41" s="163"/>
    </row>
    <row r="42" spans="1:16383" s="165" customFormat="1" ht="78">
      <c r="A42" s="1322" t="s">
        <v>507</v>
      </c>
      <c r="B42" s="1322" t="s">
        <v>539</v>
      </c>
      <c r="C42" s="1322" t="s">
        <v>512</v>
      </c>
      <c r="D42" s="163"/>
    </row>
    <row r="43" spans="1:16383" s="165" customFormat="1" ht="14">
      <c r="A43" s="1322" t="s">
        <v>525</v>
      </c>
      <c r="B43" s="1322" t="s">
        <v>540</v>
      </c>
      <c r="C43" s="1322" t="s">
        <v>541</v>
      </c>
      <c r="D43" s="163"/>
    </row>
    <row r="44" spans="1:16383" s="165" customFormat="1" ht="52">
      <c r="A44" s="1322" t="s">
        <v>507</v>
      </c>
      <c r="B44" s="1322" t="s">
        <v>542</v>
      </c>
      <c r="C44" s="1322" t="s">
        <v>543</v>
      </c>
      <c r="D44" s="163"/>
    </row>
    <row r="45" spans="1:16383" s="165" customFormat="1" ht="26">
      <c r="A45" s="1322" t="s">
        <v>507</v>
      </c>
      <c r="B45" s="1322" t="s">
        <v>544</v>
      </c>
      <c r="C45" s="1484" t="s">
        <v>545</v>
      </c>
      <c r="D45" s="163"/>
    </row>
    <row r="46" spans="1:16383" s="165" customFormat="1" ht="26">
      <c r="A46" s="1322" t="s">
        <v>525</v>
      </c>
      <c r="B46" s="1322" t="s">
        <v>546</v>
      </c>
      <c r="C46" s="1485" t="s">
        <v>547</v>
      </c>
      <c r="D46" s="163"/>
    </row>
    <row r="47" spans="1:16383" s="1771" customFormat="1" ht="2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9">
      <c r="A51" s="1933" t="s">
        <v>525</v>
      </c>
      <c r="B51" s="1933" t="s">
        <v>554</v>
      </c>
      <c r="C51" s="1933" t="s">
        <v>512</v>
      </c>
      <c r="D51" s="163"/>
    </row>
    <row r="52" spans="1:4" s="165" customFormat="1" ht="65">
      <c r="A52" s="1933" t="s">
        <v>510</v>
      </c>
      <c r="B52" s="1933" t="s">
        <v>555</v>
      </c>
      <c r="C52" s="1933" t="s">
        <v>531</v>
      </c>
      <c r="D52" s="163"/>
    </row>
    <row r="53" spans="1:4" s="165" customFormat="1" ht="82.5" customHeight="1">
      <c r="A53" s="1933" t="s">
        <v>507</v>
      </c>
      <c r="B53" s="1933" t="s">
        <v>556</v>
      </c>
      <c r="C53" s="1933" t="s">
        <v>531</v>
      </c>
      <c r="D53" s="163"/>
    </row>
    <row r="54" spans="1:4" s="165" customFormat="1" ht="69.650000000000006" customHeight="1">
      <c r="A54" s="1933" t="s">
        <v>510</v>
      </c>
      <c r="B54" s="1933" t="s">
        <v>557</v>
      </c>
      <c r="C54" s="1933" t="s">
        <v>558</v>
      </c>
      <c r="D54" s="163"/>
    </row>
    <row r="55" spans="1:4" s="165" customFormat="1" ht="26">
      <c r="A55" s="1933" t="s">
        <v>525</v>
      </c>
      <c r="B55" s="1933" t="s">
        <v>559</v>
      </c>
      <c r="C55" s="1933" t="s">
        <v>560</v>
      </c>
      <c r="D55" s="163"/>
    </row>
    <row r="56" spans="1:4" s="165" customFormat="1" ht="26">
      <c r="A56" s="1933" t="s">
        <v>525</v>
      </c>
      <c r="B56" s="1933" t="s">
        <v>561</v>
      </c>
      <c r="C56" s="1933" t="s">
        <v>560</v>
      </c>
      <c r="D56" s="163"/>
    </row>
    <row r="57" spans="1:4" s="165" customFormat="1" ht="39">
      <c r="A57" s="1933" t="s">
        <v>507</v>
      </c>
      <c r="B57" s="1933" t="s">
        <v>562</v>
      </c>
      <c r="C57" s="1933" t="s">
        <v>560</v>
      </c>
      <c r="D57" s="163"/>
    </row>
    <row r="58" spans="1:4" s="165" customFormat="1" ht="26">
      <c r="A58" s="1933" t="s">
        <v>510</v>
      </c>
      <c r="B58" s="1933" t="s">
        <v>563</v>
      </c>
      <c r="C58" s="1933" t="s">
        <v>564</v>
      </c>
      <c r="D58" s="163"/>
    </row>
    <row r="59" spans="1:4" s="165" customFormat="1" ht="41.15" customHeight="1">
      <c r="A59" s="2026" t="s">
        <v>510</v>
      </c>
      <c r="B59" s="2026" t="s">
        <v>565</v>
      </c>
      <c r="C59" s="2026" t="s">
        <v>524</v>
      </c>
      <c r="D59" s="163"/>
    </row>
    <row r="60" spans="1:4" s="165" customFormat="1" ht="117">
      <c r="A60" s="2026" t="s">
        <v>510</v>
      </c>
      <c r="B60" s="2026" t="s">
        <v>566</v>
      </c>
      <c r="C60" s="2026" t="s">
        <v>512</v>
      </c>
      <c r="D60" s="163"/>
    </row>
    <row r="61" spans="1:4" s="165" customFormat="1" ht="14">
      <c r="A61" s="2026" t="s">
        <v>525</v>
      </c>
      <c r="B61" s="2026" t="s">
        <v>567</v>
      </c>
      <c r="C61" s="2026" t="s">
        <v>512</v>
      </c>
      <c r="D61" s="163"/>
    </row>
    <row r="62" spans="1:4" s="165" customFormat="1" ht="78">
      <c r="A62" s="2026" t="s">
        <v>507</v>
      </c>
      <c r="B62" s="2026" t="s">
        <v>568</v>
      </c>
      <c r="C62" s="2026" t="s">
        <v>531</v>
      </c>
      <c r="D62" s="163"/>
    </row>
    <row r="63" spans="1:4" s="165" customFormat="1" ht="52">
      <c r="A63" s="2026" t="s">
        <v>525</v>
      </c>
      <c r="B63" s="2026" t="s">
        <v>569</v>
      </c>
      <c r="C63" s="2026" t="s">
        <v>547</v>
      </c>
      <c r="D63" s="163"/>
    </row>
    <row r="64" spans="1:4" s="165" customFormat="1" ht="26">
      <c r="A64" s="2026" t="s">
        <v>507</v>
      </c>
      <c r="B64" s="2026" t="s">
        <v>570</v>
      </c>
      <c r="C64" s="2026" t="s">
        <v>547</v>
      </c>
      <c r="D64" s="163"/>
    </row>
    <row r="65" spans="1:6" s="165" customFormat="1" ht="26">
      <c r="A65" s="2026" t="s">
        <v>510</v>
      </c>
      <c r="B65" s="2026" t="s">
        <v>5599</v>
      </c>
      <c r="C65" s="2026" t="s">
        <v>558</v>
      </c>
      <c r="D65" s="163"/>
    </row>
    <row r="66" spans="1:6" s="165" customFormat="1" ht="14">
      <c r="A66" s="2026"/>
      <c r="B66" s="2026"/>
      <c r="C66" s="2026"/>
      <c r="D66" s="163"/>
    </row>
    <row r="67" spans="1:6" s="165" customFormat="1" ht="14">
      <c r="A67" s="2026"/>
      <c r="B67" s="2026"/>
      <c r="C67" s="2026"/>
      <c r="D67" s="163"/>
    </row>
    <row r="68" spans="1:6" s="165" customFormat="1" ht="14">
      <c r="A68" s="2027"/>
      <c r="B68" s="2027"/>
      <c r="C68" s="2027"/>
      <c r="D68" s="163"/>
    </row>
    <row r="69" spans="1:6">
      <c r="A69" s="164"/>
      <c r="B69" s="164"/>
    </row>
    <row r="70" spans="1:6" ht="83.25" customHeight="1">
      <c r="A70" s="401" t="s">
        <v>571</v>
      </c>
      <c r="B70" s="2422" t="s">
        <v>5252</v>
      </c>
      <c r="C70" s="2422"/>
    </row>
    <row r="71" spans="1:6" ht="20.5">
      <c r="A71" s="390"/>
      <c r="B71" s="164"/>
    </row>
    <row r="72" spans="1:6" ht="22">
      <c r="A72" s="401" t="s">
        <v>572</v>
      </c>
      <c r="B72" s="2226" t="s">
        <v>573</v>
      </c>
      <c r="C72" s="165"/>
    </row>
    <row r="73" spans="1:6">
      <c r="A73" s="164"/>
      <c r="B73" s="164"/>
    </row>
    <row r="74" spans="1:6"/>
    <row r="75" spans="1:6" ht="20.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19"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575</v>
      </c>
      <c r="I3" s="169"/>
      <c r="K3" s="169"/>
    </row>
    <row r="4" spans="1:11" s="163" customFormat="1"/>
    <row r="5" spans="1:11" s="163" customFormat="1" ht="20.5">
      <c r="B5" s="415" t="s">
        <v>576</v>
      </c>
    </row>
    <row r="6" spans="1:11" s="163" customFormat="1" ht="13">
      <c r="E6" s="402" t="s">
        <v>577</v>
      </c>
      <c r="F6" s="393"/>
      <c r="G6" s="393" t="s">
        <v>578</v>
      </c>
    </row>
    <row r="7" spans="1:11" s="163" customFormat="1" ht="13">
      <c r="E7" s="393"/>
      <c r="F7" s="393"/>
      <c r="G7" s="393"/>
    </row>
    <row r="8" spans="1:11" s="163" customFormat="1" ht="13">
      <c r="E8" s="403" t="s">
        <v>579</v>
      </c>
      <c r="F8" s="393"/>
      <c r="G8" s="393" t="s">
        <v>580</v>
      </c>
    </row>
    <row r="9" spans="1:11" s="163" customFormat="1" ht="13">
      <c r="E9" s="393"/>
      <c r="F9" s="393"/>
      <c r="G9" s="393"/>
    </row>
    <row r="10" spans="1:11" s="163" customFormat="1" ht="13">
      <c r="E10" s="404" t="s">
        <v>581</v>
      </c>
      <c r="F10" s="393"/>
      <c r="G10" s="393" t="s">
        <v>582</v>
      </c>
    </row>
    <row r="11" spans="1:11" s="163" customFormat="1" ht="13">
      <c r="E11" s="393"/>
      <c r="F11" s="393"/>
      <c r="G11" s="393"/>
    </row>
    <row r="12" spans="1:11" s="163" customFormat="1" ht="13">
      <c r="E12" s="393" t="s">
        <v>583</v>
      </c>
      <c r="F12" s="393"/>
      <c r="G12" s="393"/>
    </row>
    <row r="13" spans="1:11" s="163" customFormat="1" ht="13">
      <c r="E13" s="393" t="s">
        <v>584</v>
      </c>
      <c r="F13" s="393"/>
      <c r="G13" s="393"/>
    </row>
    <row r="14" spans="1:11" s="163" customFormat="1" ht="13">
      <c r="E14" s="393"/>
      <c r="F14" s="393"/>
      <c r="G14" s="393"/>
    </row>
    <row r="15" spans="1:11" s="163" customFormat="1" ht="13">
      <c r="E15" s="405" t="s">
        <v>585</v>
      </c>
      <c r="F15" s="393"/>
      <c r="G15" s="393" t="s">
        <v>586</v>
      </c>
    </row>
    <row r="16" spans="1:11" s="163" customFormat="1" ht="13">
      <c r="E16" s="393"/>
      <c r="F16" s="393"/>
      <c r="G16" s="393"/>
    </row>
    <row r="17" spans="1:7" s="163" customFormat="1" ht="20.5">
      <c r="B17" s="415" t="s">
        <v>587</v>
      </c>
      <c r="E17" s="393"/>
      <c r="F17" s="393"/>
      <c r="G17" s="393"/>
    </row>
    <row r="18" spans="1:7" s="163" customFormat="1" ht="13">
      <c r="E18" s="406" t="s">
        <v>588</v>
      </c>
      <c r="F18" s="393"/>
      <c r="G18" s="393" t="s">
        <v>589</v>
      </c>
    </row>
    <row r="19" spans="1:7" s="163" customFormat="1" ht="13">
      <c r="E19" s="393"/>
      <c r="F19" s="393"/>
      <c r="G19" s="393"/>
    </row>
    <row r="20" spans="1:7" s="163" customFormat="1" ht="13">
      <c r="E20" s="407" t="s">
        <v>590</v>
      </c>
      <c r="F20" s="393"/>
      <c r="G20" s="393" t="s">
        <v>591</v>
      </c>
    </row>
    <row r="21" spans="1:7" s="163" customFormat="1" ht="13">
      <c r="E21" s="393"/>
      <c r="F21" s="393"/>
      <c r="G21" s="393"/>
    </row>
    <row r="22" spans="1:7" s="163" customFormat="1" ht="20.5">
      <c r="B22" s="415" t="s">
        <v>592</v>
      </c>
      <c r="E22" s="393"/>
      <c r="F22" s="393"/>
      <c r="G22" s="393"/>
    </row>
    <row r="23" spans="1:7" s="163" customFormat="1" ht="13">
      <c r="E23" s="408" t="s">
        <v>593</v>
      </c>
      <c r="F23" s="393"/>
      <c r="G23" s="393" t="s">
        <v>594</v>
      </c>
    </row>
    <row r="24" spans="1:7" s="163" customFormat="1" ht="13">
      <c r="E24" s="393"/>
      <c r="F24" s="393"/>
      <c r="G24" s="393"/>
    </row>
    <row r="25" spans="1:7" s="163" customFormat="1" ht="13">
      <c r="E25" s="409" t="s">
        <v>595</v>
      </c>
      <c r="F25" s="393"/>
      <c r="G25" s="393" t="s">
        <v>596</v>
      </c>
    </row>
    <row r="26" spans="1:7" s="163" customFormat="1" ht="13">
      <c r="E26" s="393"/>
      <c r="F26" s="393"/>
      <c r="G26" s="393"/>
    </row>
    <row r="27" spans="1:7" s="163" customFormat="1" ht="13">
      <c r="E27" s="393"/>
      <c r="F27" s="393"/>
      <c r="G27" s="393"/>
    </row>
    <row r="28" spans="1:7" s="163" customFormat="1" ht="22">
      <c r="A28" s="414" t="s">
        <v>597</v>
      </c>
      <c r="E28" s="393"/>
      <c r="F28" s="393"/>
      <c r="G28" s="393"/>
    </row>
    <row r="29" spans="1:7" s="163" customFormat="1" ht="13">
      <c r="E29" s="393"/>
      <c r="F29" s="393"/>
      <c r="G29" s="393"/>
    </row>
    <row r="30" spans="1:7" s="163" customFormat="1" ht="13">
      <c r="E30" s="410"/>
      <c r="F30" s="393"/>
      <c r="G30" s="393" t="s">
        <v>598</v>
      </c>
    </row>
    <row r="31" spans="1:7" s="163" customFormat="1" ht="13">
      <c r="E31" s="393"/>
      <c r="F31" s="393"/>
      <c r="G31" s="393"/>
    </row>
    <row r="32" spans="1:7" s="163" customFormat="1" ht="13">
      <c r="E32" s="411"/>
      <c r="F32" s="393"/>
      <c r="G32" s="393" t="s">
        <v>599</v>
      </c>
    </row>
    <row r="33" spans="1:11" s="163" customFormat="1" ht="13">
      <c r="E33" s="393"/>
      <c r="F33" s="393"/>
      <c r="G33" s="393"/>
    </row>
    <row r="34" spans="1:11" s="163" customFormat="1" ht="13">
      <c r="E34" s="412"/>
      <c r="F34" s="393"/>
      <c r="G34" s="393" t="s">
        <v>600</v>
      </c>
    </row>
    <row r="35" spans="1:11" s="163" customFormat="1" ht="13">
      <c r="E35" s="393"/>
      <c r="F35" s="393"/>
      <c r="G35" s="393"/>
    </row>
    <row r="36" spans="1:11" s="163" customFormat="1" ht="13">
      <c r="E36" s="413"/>
      <c r="F36" s="393"/>
      <c r="G36" s="393" t="s">
        <v>601</v>
      </c>
    </row>
    <row r="37" spans="1:11" s="163" customFormat="1"/>
    <row r="38" spans="1:11" s="163" customFormat="1"/>
    <row r="39" spans="1:11" ht="20.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602</v>
      </c>
      <c r="C3" s="418"/>
      <c r="D3" s="418" t="s">
        <v>603</v>
      </c>
      <c r="E3" s="418"/>
      <c r="F3" s="418" t="s">
        <v>604</v>
      </c>
      <c r="G3" s="418"/>
      <c r="H3" s="418" t="s">
        <v>605</v>
      </c>
      <c r="J3" s="174"/>
    </row>
    <row r="4" spans="1:13" s="173" customFormat="1" ht="13">
      <c r="A4" s="418"/>
      <c r="B4" s="418"/>
      <c r="C4" s="418"/>
      <c r="D4" s="418"/>
      <c r="E4" s="418"/>
      <c r="F4" s="418"/>
      <c r="G4" s="418"/>
      <c r="H4" s="418"/>
      <c r="J4" s="174"/>
    </row>
    <row r="5" spans="1:13" s="176" customFormat="1" ht="13">
      <c r="A5" s="418"/>
      <c r="B5" s="419" t="s">
        <v>606</v>
      </c>
      <c r="C5" s="418"/>
      <c r="D5" s="2218" t="s">
        <v>607</v>
      </c>
      <c r="E5" s="418"/>
      <c r="F5" s="421" t="s">
        <v>541</v>
      </c>
      <c r="G5" s="418"/>
      <c r="H5" s="422" t="s">
        <v>531</v>
      </c>
      <c r="I5" s="173"/>
      <c r="J5" s="175"/>
      <c r="K5" s="173"/>
    </row>
    <row r="6" spans="1:13" s="173" customFormat="1" ht="13.15" customHeight="1">
      <c r="A6" s="418"/>
      <c r="B6" s="418" t="s">
        <v>5271</v>
      </c>
      <c r="C6" s="418"/>
      <c r="D6" s="2430" t="s">
        <v>5595</v>
      </c>
      <c r="E6" s="418"/>
      <c r="F6" s="2430" t="s">
        <v>608</v>
      </c>
      <c r="G6" s="418"/>
      <c r="H6" s="418" t="s">
        <v>609</v>
      </c>
      <c r="J6" s="174"/>
    </row>
    <row r="7" spans="1:13" s="173" customFormat="1" ht="13">
      <c r="A7" s="418"/>
      <c r="B7" s="418"/>
      <c r="C7" s="418"/>
      <c r="D7" s="2432"/>
      <c r="E7" s="418"/>
      <c r="F7" s="2432"/>
      <c r="G7" s="418"/>
      <c r="H7" s="418"/>
      <c r="J7" s="174"/>
    </row>
    <row r="8" spans="1:13" s="176" customFormat="1" ht="13">
      <c r="A8" s="418"/>
      <c r="B8" s="419" t="s">
        <v>610</v>
      </c>
      <c r="C8" s="418"/>
      <c r="D8" s="2218" t="s">
        <v>611</v>
      </c>
      <c r="E8" s="418"/>
      <c r="F8" s="421" t="s">
        <v>512</v>
      </c>
      <c r="G8" s="418"/>
      <c r="H8" s="422" t="s">
        <v>5279</v>
      </c>
      <c r="I8" s="173"/>
      <c r="J8" s="175"/>
      <c r="K8" s="173"/>
    </row>
    <row r="9" spans="1:13" s="173" customFormat="1" ht="13.15" customHeight="1">
      <c r="A9" s="418"/>
      <c r="B9" s="418" t="s">
        <v>5272</v>
      </c>
      <c r="C9" s="418"/>
      <c r="D9" s="2430" t="s">
        <v>5596</v>
      </c>
      <c r="E9" s="418"/>
      <c r="F9" s="418" t="s">
        <v>612</v>
      </c>
      <c r="G9" s="418"/>
      <c r="H9" s="2430" t="s">
        <v>613</v>
      </c>
      <c r="J9" s="174"/>
    </row>
    <row r="10" spans="1:13" s="173" customFormat="1" ht="13">
      <c r="A10" s="418"/>
      <c r="B10" s="418"/>
      <c r="C10" s="418"/>
      <c r="D10" s="2431"/>
      <c r="E10" s="418"/>
      <c r="F10" s="423"/>
      <c r="G10" s="418"/>
      <c r="H10" s="2432"/>
      <c r="J10" s="174"/>
    </row>
    <row r="11" spans="1:13" s="176" customFormat="1" ht="13">
      <c r="A11" s="418"/>
      <c r="B11" s="419" t="s">
        <v>614</v>
      </c>
      <c r="C11" s="418"/>
      <c r="D11" s="420" t="s">
        <v>534</v>
      </c>
      <c r="E11" s="418"/>
      <c r="F11" s="421" t="s">
        <v>549</v>
      </c>
      <c r="G11" s="418"/>
      <c r="H11" s="422" t="s">
        <v>560</v>
      </c>
      <c r="I11" s="173"/>
      <c r="J11" s="173"/>
      <c r="K11" s="173"/>
    </row>
    <row r="12" spans="1:13" s="173" customFormat="1" ht="13">
      <c r="A12" s="418"/>
      <c r="B12" s="418" t="s">
        <v>5273</v>
      </c>
      <c r="C12" s="418"/>
      <c r="D12" s="2430" t="s">
        <v>615</v>
      </c>
      <c r="E12" s="418"/>
      <c r="F12" s="418" t="s">
        <v>616</v>
      </c>
      <c r="G12" s="418"/>
      <c r="H12" s="2430" t="s">
        <v>617</v>
      </c>
    </row>
    <row r="13" spans="1:13" s="173" customFormat="1" ht="13">
      <c r="A13" s="418"/>
      <c r="B13" s="418"/>
      <c r="C13" s="418"/>
      <c r="D13" s="2432"/>
      <c r="E13" s="418"/>
      <c r="F13" s="418"/>
      <c r="G13" s="418"/>
      <c r="H13" s="2432"/>
    </row>
    <row r="14" spans="1:13" s="176" customFormat="1" ht="13">
      <c r="A14" s="418"/>
      <c r="B14" s="419" t="s">
        <v>5270</v>
      </c>
      <c r="C14" s="418"/>
      <c r="D14" s="420" t="s">
        <v>619</v>
      </c>
      <c r="E14" s="418"/>
      <c r="F14" s="421" t="s">
        <v>620</v>
      </c>
      <c r="G14" s="418"/>
      <c r="H14" s="422" t="s">
        <v>623</v>
      </c>
      <c r="I14" s="173"/>
      <c r="J14" s="173"/>
      <c r="K14" s="173"/>
    </row>
    <row r="15" spans="1:13" s="173" customFormat="1" ht="13">
      <c r="A15" s="418"/>
      <c r="B15" s="418" t="s">
        <v>5274</v>
      </c>
      <c r="C15" s="418"/>
      <c r="D15" s="2430" t="s">
        <v>615</v>
      </c>
      <c r="E15" s="418"/>
      <c r="F15" s="418" t="s">
        <v>621</v>
      </c>
      <c r="G15" s="418"/>
      <c r="H15" s="418" t="s">
        <v>5280</v>
      </c>
    </row>
    <row r="16" spans="1:13" s="173" customFormat="1" ht="13">
      <c r="A16" s="418"/>
      <c r="B16" s="418"/>
      <c r="C16" s="418"/>
      <c r="D16" s="2431"/>
      <c r="E16" s="418"/>
      <c r="F16" s="418"/>
      <c r="G16" s="418"/>
      <c r="H16" s="418" t="s">
        <v>5281</v>
      </c>
    </row>
    <row r="17" spans="1:8" s="173" customFormat="1" ht="13">
      <c r="A17" s="418"/>
      <c r="B17" s="424" t="s">
        <v>618</v>
      </c>
      <c r="C17" s="418"/>
      <c r="D17" s="420" t="s">
        <v>132</v>
      </c>
      <c r="E17" s="418"/>
      <c r="F17" s="418"/>
      <c r="G17" s="418"/>
      <c r="H17" s="422" t="s">
        <v>5282</v>
      </c>
    </row>
    <row r="18" spans="1:8" s="173" customFormat="1" ht="13">
      <c r="A18" s="418"/>
      <c r="B18" s="418" t="s">
        <v>5275</v>
      </c>
      <c r="C18" s="418"/>
      <c r="D18" s="418" t="s">
        <v>624</v>
      </c>
      <c r="E18" s="418"/>
      <c r="F18" s="418"/>
      <c r="G18" s="418"/>
      <c r="H18" s="418" t="s">
        <v>622</v>
      </c>
    </row>
    <row r="19" spans="1:8" s="173" customFormat="1" ht="13">
      <c r="A19" s="418"/>
      <c r="B19" s="418"/>
      <c r="C19" s="418"/>
      <c r="E19" s="418"/>
      <c r="F19" s="418"/>
      <c r="G19" s="418"/>
    </row>
    <row r="20" spans="1:8" s="173" customFormat="1" ht="13">
      <c r="A20" s="418"/>
      <c r="B20" s="419" t="s">
        <v>5287</v>
      </c>
      <c r="C20" s="418"/>
      <c r="D20" s="420" t="s">
        <v>625</v>
      </c>
      <c r="E20" s="418"/>
      <c r="F20" s="418"/>
      <c r="G20" s="418"/>
      <c r="H20" s="422" t="s">
        <v>5283</v>
      </c>
    </row>
    <row r="21" spans="1:8" s="173" customFormat="1" ht="13">
      <c r="A21" s="418"/>
      <c r="B21" s="418" t="s">
        <v>5289</v>
      </c>
      <c r="C21" s="418"/>
      <c r="D21" s="418" t="s">
        <v>626</v>
      </c>
      <c r="E21" s="418"/>
      <c r="F21" s="418"/>
      <c r="G21" s="418"/>
      <c r="H21" s="418" t="s">
        <v>5284</v>
      </c>
    </row>
    <row r="22" spans="1:8" s="173" customFormat="1" ht="13">
      <c r="A22" s="418"/>
      <c r="B22" s="418"/>
      <c r="C22" s="418"/>
      <c r="D22" s="418" t="s">
        <v>5248</v>
      </c>
      <c r="E22" s="418"/>
      <c r="F22" s="418"/>
      <c r="G22" s="418"/>
      <c r="H22" s="2227"/>
    </row>
    <row r="23" spans="1:8" s="173" customFormat="1" ht="13">
      <c r="A23" s="418"/>
      <c r="B23" s="419" t="s">
        <v>5288</v>
      </c>
      <c r="C23" s="418"/>
      <c r="D23" s="418"/>
      <c r="E23" s="418"/>
      <c r="F23" s="418"/>
      <c r="G23" s="418"/>
      <c r="H23" s="2227"/>
    </row>
    <row r="24" spans="1:8" s="173" customFormat="1" ht="13">
      <c r="A24" s="418"/>
      <c r="B24" s="418" t="s">
        <v>5290</v>
      </c>
      <c r="C24" s="418"/>
      <c r="D24" s="420" t="s">
        <v>5276</v>
      </c>
      <c r="E24" s="418"/>
      <c r="F24" s="418"/>
      <c r="G24" s="418"/>
      <c r="H24" s="418"/>
    </row>
    <row r="25" spans="1:8" s="173" customFormat="1" ht="13">
      <c r="A25" s="418"/>
      <c r="B25" s="418"/>
      <c r="C25" s="418"/>
      <c r="D25" s="418" t="s">
        <v>5277</v>
      </c>
      <c r="E25" s="418"/>
      <c r="F25" s="418"/>
      <c r="G25" s="418"/>
    </row>
    <row r="26" spans="1:8" s="173" customFormat="1" ht="13">
      <c r="A26" s="418"/>
      <c r="B26" s="418"/>
      <c r="C26" s="418"/>
      <c r="D26" s="418" t="s">
        <v>5278</v>
      </c>
      <c r="E26" s="418"/>
      <c r="F26" s="418"/>
      <c r="G26" s="418"/>
    </row>
    <row r="27" spans="1:8" s="173" customFormat="1" ht="13">
      <c r="A27" s="418"/>
      <c r="B27" s="418"/>
      <c r="C27" s="418"/>
      <c r="D27" s="420" t="s">
        <v>4896</v>
      </c>
      <c r="E27" s="418"/>
      <c r="F27" s="418"/>
      <c r="G27" s="418"/>
      <c r="H27" s="418"/>
    </row>
    <row r="28" spans="1:8" s="173" customFormat="1" ht="13">
      <c r="A28" s="418"/>
      <c r="B28" s="418"/>
      <c r="C28" s="418"/>
      <c r="D28" s="418" t="s">
        <v>5285</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5089</v>
      </c>
      <c r="E30" s="418"/>
      <c r="F30" s="418"/>
      <c r="G30" s="418"/>
      <c r="H30" s="418"/>
    </row>
    <row r="31" spans="1:8" s="173" customFormat="1" ht="13">
      <c r="A31" s="418"/>
      <c r="B31" s="418"/>
      <c r="C31" s="418"/>
      <c r="D31" s="418" t="s">
        <v>5286</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627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topLeftCell="A37"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29" t="s">
        <v>17</v>
      </c>
      <c r="C1" s="2006"/>
    </row>
    <row r="2" spans="2:5" ht="5.25" customHeight="1" thickBot="1">
      <c r="B2" s="4"/>
      <c r="E2" s="4"/>
    </row>
    <row r="3" spans="2:5" ht="30" customHeight="1" thickBot="1">
      <c r="B3" s="2392" t="s">
        <v>18</v>
      </c>
      <c r="C3" s="2392"/>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3.5">
      <c r="B16" s="2330" t="s">
        <v>40</v>
      </c>
      <c r="C16" s="2007"/>
    </row>
    <row r="17" spans="2:3" ht="5.9" customHeight="1" thickBot="1"/>
    <row r="18" spans="2:3" ht="16" thickBot="1">
      <c r="B18" s="267" t="s">
        <v>41</v>
      </c>
      <c r="C18" s="267" t="s">
        <v>42</v>
      </c>
    </row>
    <row r="19" spans="2:3" ht="16" thickBot="1">
      <c r="B19" s="268" t="s">
        <v>43</v>
      </c>
      <c r="C19" s="42" t="s">
        <v>44</v>
      </c>
    </row>
    <row r="20" spans="2:3" ht="31.5" thickBot="1">
      <c r="B20" s="268" t="s">
        <v>43</v>
      </c>
      <c r="C20" s="42" t="s">
        <v>45</v>
      </c>
    </row>
    <row r="21" spans="2:3" ht="16" thickBot="1">
      <c r="B21" s="268" t="s">
        <v>46</v>
      </c>
      <c r="C21" s="42" t="s">
        <v>44</v>
      </c>
    </row>
    <row r="22" spans="2:3" ht="16" thickBot="1">
      <c r="B22" s="268" t="s">
        <v>47</v>
      </c>
      <c r="C22" s="42" t="s">
        <v>44</v>
      </c>
    </row>
    <row r="23" spans="2:3" ht="16" thickBot="1">
      <c r="B23" s="268" t="s">
        <v>48</v>
      </c>
      <c r="C23" s="42" t="s">
        <v>49</v>
      </c>
    </row>
    <row r="24" spans="2:3" ht="16" thickBot="1">
      <c r="B24" s="268" t="s">
        <v>50</v>
      </c>
      <c r="C24" s="42" t="s">
        <v>51</v>
      </c>
    </row>
    <row r="25" spans="2:3" ht="31.5" thickBot="1">
      <c r="B25" s="268" t="s">
        <v>52</v>
      </c>
      <c r="C25" s="42" t="s">
        <v>53</v>
      </c>
    </row>
    <row r="26" spans="2:3" ht="16" thickBot="1">
      <c r="B26" s="268" t="s">
        <v>52</v>
      </c>
      <c r="C26" s="42" t="s">
        <v>54</v>
      </c>
    </row>
    <row r="27" spans="2:3" ht="16" thickBot="1">
      <c r="B27" s="268" t="s">
        <v>52</v>
      </c>
      <c r="C27" s="42" t="s">
        <v>55</v>
      </c>
    </row>
    <row r="28" spans="2:3" ht="16" thickBot="1">
      <c r="B28" s="268" t="s">
        <v>52</v>
      </c>
      <c r="C28" s="42" t="s">
        <v>56</v>
      </c>
    </row>
    <row r="29" spans="2:3" ht="47" thickBot="1">
      <c r="B29" s="268" t="s">
        <v>52</v>
      </c>
      <c r="C29" s="42" t="s">
        <v>57</v>
      </c>
    </row>
    <row r="30" spans="2:3" ht="47" thickBot="1">
      <c r="B30" s="268" t="s">
        <v>52</v>
      </c>
      <c r="C30" s="42" t="s">
        <v>58</v>
      </c>
    </row>
    <row r="31" spans="2:3" ht="31.5" thickBot="1">
      <c r="B31" s="268" t="s">
        <v>59</v>
      </c>
      <c r="C31" s="42" t="s">
        <v>60</v>
      </c>
    </row>
    <row r="32" spans="2:3" ht="31.5" thickBot="1">
      <c r="B32" s="268" t="s">
        <v>52</v>
      </c>
      <c r="C32" s="42" t="s">
        <v>61</v>
      </c>
    </row>
    <row r="33" spans="2:3" ht="31.5" thickBot="1">
      <c r="B33" s="268" t="s">
        <v>52</v>
      </c>
      <c r="C33" s="42" t="s">
        <v>62</v>
      </c>
    </row>
    <row r="34" spans="2:3" ht="31.5" thickBot="1">
      <c r="B34" s="268" t="s">
        <v>52</v>
      </c>
      <c r="C34" s="42" t="s">
        <v>63</v>
      </c>
    </row>
    <row r="35" spans="2:3" ht="16" thickBot="1">
      <c r="B35" s="1420" t="s">
        <v>48</v>
      </c>
      <c r="C35" s="1421" t="s">
        <v>64</v>
      </c>
    </row>
    <row r="36" spans="2:3" ht="62.5" thickBot="1">
      <c r="B36" s="1420" t="s">
        <v>52</v>
      </c>
      <c r="C36" s="1421" t="s">
        <v>65</v>
      </c>
    </row>
    <row r="37" spans="2:3" ht="31.5" thickBot="1">
      <c r="B37" s="1420" t="s">
        <v>52</v>
      </c>
      <c r="C37" s="1421" t="s">
        <v>66</v>
      </c>
    </row>
    <row r="38" spans="2:3" ht="62.5" thickBot="1">
      <c r="B38" s="1420" t="s">
        <v>67</v>
      </c>
      <c r="C38" s="1421" t="s">
        <v>68</v>
      </c>
    </row>
    <row r="39" spans="2:3" ht="31.5" thickBot="1">
      <c r="B39" s="1763" t="s">
        <v>52</v>
      </c>
      <c r="C39" s="1764" t="s">
        <v>69</v>
      </c>
    </row>
    <row r="40" spans="2:3" ht="16" thickBot="1">
      <c r="B40" s="1897" t="s">
        <v>70</v>
      </c>
      <c r="C40" s="1898" t="s">
        <v>71</v>
      </c>
    </row>
    <row r="41" spans="2:3" ht="16" thickBot="1">
      <c r="B41" s="1897" t="s">
        <v>52</v>
      </c>
      <c r="C41" s="1898" t="s">
        <v>72</v>
      </c>
    </row>
    <row r="42" spans="2:3" ht="62.5" thickBot="1">
      <c r="B42" s="1897" t="s">
        <v>52</v>
      </c>
      <c r="C42" s="1898" t="s">
        <v>73</v>
      </c>
    </row>
    <row r="43" spans="2:3" ht="31.5" thickBot="1">
      <c r="B43" s="1993" t="s">
        <v>48</v>
      </c>
      <c r="C43" s="1994" t="s">
        <v>74</v>
      </c>
    </row>
    <row r="44" spans="2:3" ht="16" thickBot="1">
      <c r="B44" s="1991" t="s">
        <v>75</v>
      </c>
      <c r="C44" s="1992" t="s">
        <v>76</v>
      </c>
    </row>
    <row r="45" spans="2:3" ht="31.5" thickBot="1">
      <c r="B45" s="1993" t="s">
        <v>75</v>
      </c>
      <c r="C45" s="1994" t="s">
        <v>77</v>
      </c>
    </row>
    <row r="46" spans="2:3" ht="31.5" thickBot="1">
      <c r="B46" s="1993" t="s">
        <v>75</v>
      </c>
      <c r="C46" s="1994" t="s">
        <v>78</v>
      </c>
    </row>
    <row r="47" spans="2:3" ht="16" thickBot="1">
      <c r="B47" s="1993" t="s">
        <v>43</v>
      </c>
      <c r="C47" s="1994" t="s">
        <v>79</v>
      </c>
    </row>
    <row r="48" spans="2:3" ht="31.5" thickBot="1">
      <c r="B48" s="1993" t="s">
        <v>80</v>
      </c>
      <c r="C48" s="1994" t="s">
        <v>81</v>
      </c>
    </row>
    <row r="49" spans="2:3" ht="31.5" thickBot="1">
      <c r="B49" s="1993" t="s">
        <v>82</v>
      </c>
      <c r="C49" s="1994" t="s">
        <v>83</v>
      </c>
    </row>
    <row r="50" spans="2:3" ht="16" thickBot="1">
      <c r="B50" s="1993" t="s">
        <v>82</v>
      </c>
      <c r="C50" s="1994" t="s">
        <v>84</v>
      </c>
    </row>
    <row r="51" spans="2:3" ht="31.5" thickBot="1">
      <c r="B51" s="1993" t="s">
        <v>85</v>
      </c>
      <c r="C51" s="1994" t="s">
        <v>86</v>
      </c>
    </row>
    <row r="52" spans="2:3" ht="31.5" thickBot="1">
      <c r="B52" s="2012" t="s">
        <v>87</v>
      </c>
      <c r="C52" s="2013" t="s">
        <v>88</v>
      </c>
    </row>
    <row r="53" spans="2:3" ht="31.5" thickBot="1">
      <c r="B53" s="2012" t="s">
        <v>89</v>
      </c>
      <c r="C53" s="2013" t="s">
        <v>90</v>
      </c>
    </row>
    <row r="54" spans="2:3" ht="31.5" thickBot="1">
      <c r="B54" s="2214" t="s">
        <v>87</v>
      </c>
      <c r="C54" s="2215" t="s">
        <v>5308</v>
      </c>
    </row>
    <row r="55" spans="2:3" ht="31.5" thickBot="1">
      <c r="B55" s="2214" t="s">
        <v>5261</v>
      </c>
      <c r="C55" s="2215" t="s">
        <v>5267</v>
      </c>
    </row>
    <row r="56" spans="2:3" ht="49.9" customHeight="1" thickBot="1">
      <c r="B56" s="2214" t="s">
        <v>89</v>
      </c>
      <c r="C56" s="2215" t="s">
        <v>5598</v>
      </c>
    </row>
    <row r="57" spans="2:3" ht="16" thickBot="1">
      <c r="B57" s="2214"/>
      <c r="C57" s="2215"/>
    </row>
    <row r="58" spans="2:3" ht="16" thickBot="1">
      <c r="B58" s="2214"/>
      <c r="C58" s="2215"/>
    </row>
    <row r="59" spans="2:3" ht="16" thickBot="1">
      <c r="B59" s="2214"/>
      <c r="C59" s="2215"/>
    </row>
    <row r="60" spans="2:3" ht="16" thickBot="1">
      <c r="B60" s="2214"/>
      <c r="C60" s="2215"/>
    </row>
    <row r="61" spans="2:3" ht="16" thickBot="1">
      <c r="B61" s="2214"/>
      <c r="C61" s="2215"/>
    </row>
    <row r="62" spans="2:3" ht="15.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5600</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SES Water</v>
      </c>
    </row>
    <row r="3" spans="1:33" ht="62.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7"/>
      <c r="AC4" s="2327"/>
      <c r="AD4" s="2327"/>
    </row>
    <row r="5" spans="1:33" ht="14.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5309</v>
      </c>
      <c r="AC7" s="1900" t="s">
        <v>752</v>
      </c>
      <c r="AD7" s="1900"/>
    </row>
    <row r="8" spans="1:33" ht="14.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5310</v>
      </c>
      <c r="AC8" s="1900" t="s">
        <v>742</v>
      </c>
      <c r="AD8" s="2327"/>
    </row>
    <row r="9" spans="1:33" ht="14.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7"/>
      <c r="AD9" s="2327"/>
    </row>
    <row r="10" spans="1:33" ht="14.5">
      <c r="A10" s="189"/>
      <c r="B10" s="185" t="s">
        <v>681</v>
      </c>
      <c r="C10" s="185" t="s">
        <v>682</v>
      </c>
      <c r="D10" s="185" t="s">
        <v>653</v>
      </c>
      <c r="E10" s="186"/>
      <c r="F10" s="185" t="s">
        <v>683</v>
      </c>
      <c r="G10" s="185">
        <v>5</v>
      </c>
      <c r="H10" s="186"/>
      <c r="K10" s="185" t="s">
        <v>116</v>
      </c>
      <c r="Z10" s="185"/>
      <c r="AB10" s="1900" t="s">
        <v>745</v>
      </c>
      <c r="AC10" s="2327"/>
      <c r="AD10" s="2327"/>
    </row>
    <row r="11" spans="1:33" ht="14.5">
      <c r="A11" s="190"/>
      <c r="B11" s="185" t="s">
        <v>684</v>
      </c>
      <c r="C11" s="185" t="s">
        <v>685</v>
      </c>
      <c r="D11" s="185" t="s">
        <v>653</v>
      </c>
      <c r="E11" s="186"/>
      <c r="F11" s="185" t="s">
        <v>686</v>
      </c>
      <c r="G11" s="185">
        <v>6</v>
      </c>
      <c r="H11" s="186"/>
      <c r="K11" s="185" t="s">
        <v>318</v>
      </c>
      <c r="Z11" s="185"/>
      <c r="AB11" s="1900" t="s">
        <v>753</v>
      </c>
      <c r="AC11" s="2327"/>
      <c r="AD11" s="2327"/>
    </row>
    <row r="12" spans="1:33" ht="14.5">
      <c r="A12" s="190"/>
      <c r="B12" s="185" t="s">
        <v>687</v>
      </c>
      <c r="C12" s="185" t="s">
        <v>688</v>
      </c>
      <c r="D12" s="185" t="s">
        <v>653</v>
      </c>
      <c r="E12" s="186"/>
      <c r="F12" s="185" t="s">
        <v>689</v>
      </c>
      <c r="G12" s="185" t="s">
        <v>690</v>
      </c>
      <c r="H12" s="186"/>
      <c r="K12" s="185" t="s">
        <v>123</v>
      </c>
      <c r="Z12" s="185"/>
      <c r="AB12" s="1900" t="s">
        <v>754</v>
      </c>
      <c r="AC12" s="2327"/>
      <c r="AD12" s="2327"/>
    </row>
    <row r="13" spans="1:33" ht="14.5">
      <c r="A13" s="190"/>
      <c r="B13" s="185" t="s">
        <v>691</v>
      </c>
      <c r="C13" s="185" t="s">
        <v>692</v>
      </c>
      <c r="D13" s="185" t="s">
        <v>653</v>
      </c>
      <c r="E13" s="186"/>
      <c r="F13" s="185" t="s">
        <v>693</v>
      </c>
      <c r="G13" s="185" t="s">
        <v>694</v>
      </c>
      <c r="H13" s="186"/>
      <c r="K13" s="185" t="s">
        <v>695</v>
      </c>
      <c r="Z13" s="185"/>
      <c r="AB13" s="1900" t="s">
        <v>5312</v>
      </c>
      <c r="AC13" s="2327"/>
      <c r="AD13" s="2327"/>
    </row>
    <row r="14" spans="1:33" ht="14.5">
      <c r="A14" s="190"/>
      <c r="B14" s="185" t="s">
        <v>696</v>
      </c>
      <c r="C14" s="185" t="s">
        <v>697</v>
      </c>
      <c r="D14" s="185" t="s">
        <v>653</v>
      </c>
      <c r="E14" s="186"/>
      <c r="F14" s="185" t="s">
        <v>698</v>
      </c>
      <c r="G14" s="185" t="s">
        <v>699</v>
      </c>
      <c r="H14" s="186"/>
      <c r="K14" s="185" t="s">
        <v>485</v>
      </c>
      <c r="Z14" s="185"/>
      <c r="AB14" s="1900" t="s">
        <v>5311</v>
      </c>
      <c r="AC14" s="2327"/>
      <c r="AD14" s="2327"/>
    </row>
    <row r="15" spans="1:33" ht="14.5">
      <c r="A15" s="190"/>
      <c r="B15" s="185" t="s">
        <v>700</v>
      </c>
      <c r="C15" s="185" t="s">
        <v>701</v>
      </c>
      <c r="D15" s="185" t="s">
        <v>653</v>
      </c>
      <c r="E15" s="186"/>
      <c r="F15" s="185" t="s">
        <v>702</v>
      </c>
      <c r="K15" s="185" t="s">
        <v>125</v>
      </c>
      <c r="Z15" s="185"/>
      <c r="AB15" s="1900" t="s">
        <v>534</v>
      </c>
      <c r="AC15" s="2327"/>
      <c r="AD15" s="2327"/>
    </row>
    <row r="16" spans="1:33" ht="14.5">
      <c r="A16" s="190"/>
      <c r="B16" s="185" t="s">
        <v>703</v>
      </c>
      <c r="C16" s="185" t="s">
        <v>704</v>
      </c>
      <c r="D16" s="185" t="s">
        <v>653</v>
      </c>
      <c r="E16" s="186"/>
      <c r="F16" s="185" t="s">
        <v>384</v>
      </c>
      <c r="K16" s="185" t="s">
        <v>126</v>
      </c>
      <c r="Z16" s="185"/>
      <c r="AB16" s="1900" t="s">
        <v>524</v>
      </c>
    </row>
    <row r="17" spans="1:34" ht="14.5">
      <c r="A17" s="190"/>
      <c r="B17" s="185" t="s">
        <v>705</v>
      </c>
      <c r="C17" s="185" t="s">
        <v>706</v>
      </c>
      <c r="D17" s="185" t="s">
        <v>707</v>
      </c>
      <c r="E17" s="186"/>
      <c r="F17" s="185" t="s">
        <v>708</v>
      </c>
      <c r="K17" s="185"/>
      <c r="Z17" s="185"/>
      <c r="AB17" s="1900" t="s">
        <v>132</v>
      </c>
    </row>
    <row r="18" spans="1:34" ht="14.5">
      <c r="A18" s="190"/>
      <c r="B18" s="185" t="s">
        <v>709</v>
      </c>
      <c r="C18" s="185" t="s">
        <v>710</v>
      </c>
      <c r="D18" s="185" t="s">
        <v>707</v>
      </c>
      <c r="E18" s="186"/>
      <c r="F18" s="185" t="s">
        <v>711</v>
      </c>
      <c r="K18" s="185" t="s">
        <v>712</v>
      </c>
      <c r="Z18" s="185"/>
      <c r="AB18" s="1900"/>
    </row>
    <row r="19" spans="1:34" ht="14.5">
      <c r="A19" s="190"/>
      <c r="B19" s="185" t="s">
        <v>713</v>
      </c>
      <c r="C19" s="185" t="s">
        <v>714</v>
      </c>
      <c r="D19" s="185" t="s">
        <v>707</v>
      </c>
      <c r="E19" s="186"/>
      <c r="F19" s="185" t="s">
        <v>148</v>
      </c>
      <c r="K19" s="185" t="s">
        <v>715</v>
      </c>
      <c r="Z19" s="185"/>
      <c r="AB19" s="1900"/>
    </row>
    <row r="20" spans="1:34" ht="14.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ht="13">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56" customWidth="1"/>
    <col min="2" max="2" width="4.25" style="1356" customWidth="1"/>
    <col min="3" max="3" width="37.25" style="1356" customWidth="1"/>
    <col min="4" max="4" width="6.83203125" style="2042" customWidth="1"/>
    <col min="5" max="5" width="80.582031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39.5">
      <c r="B2" s="2320" t="str">
        <f>"Summary of Ofwat actions and changes to the company's PR19IPD01 ODI performance model for "&amp;'Validation summary'!$B$2</f>
        <v>Summary of Ofwat actions and changes to the company's PR19IPD01 ODI performance model for 2024-25</v>
      </c>
      <c r="I2" s="2321" t="str">
        <f>'Validation summary'!$B$3</f>
        <v>SES Water</v>
      </c>
    </row>
    <row r="3" spans="2:9" ht="15" thickBot="1"/>
    <row r="4" spans="2:9" ht="24.5">
      <c r="B4" s="2322" t="s">
        <v>733</v>
      </c>
      <c r="C4" s="2323" t="s">
        <v>734</v>
      </c>
      <c r="D4" s="2324" t="s">
        <v>735</v>
      </c>
      <c r="E4" s="2325" t="s">
        <v>736</v>
      </c>
      <c r="F4" s="2325" t="s">
        <v>737</v>
      </c>
      <c r="G4" s="2325" t="s">
        <v>738</v>
      </c>
      <c r="H4" s="2324" t="s">
        <v>739</v>
      </c>
      <c r="I4" s="2326"/>
    </row>
    <row r="5" spans="2:9">
      <c r="B5" s="2216">
        <v>1</v>
      </c>
      <c r="C5" s="2334"/>
      <c r="D5" s="2335"/>
      <c r="E5" s="2336"/>
      <c r="F5" s="2336"/>
      <c r="G5" s="2336"/>
      <c r="H5" s="2337"/>
      <c r="I5" s="2338"/>
    </row>
    <row r="6" spans="2:9">
      <c r="B6" s="2216">
        <f>B5+1</f>
        <v>2</v>
      </c>
      <c r="C6" s="2334"/>
      <c r="D6" s="2335"/>
      <c r="E6" s="2336"/>
      <c r="F6" s="2336"/>
      <c r="G6" s="2336"/>
      <c r="H6" s="2337"/>
      <c r="I6" s="2338"/>
    </row>
    <row r="7" spans="2:9">
      <c r="B7" s="2216">
        <f t="shared" ref="B7:B53" si="0">B6+1</f>
        <v>3</v>
      </c>
      <c r="C7" s="2334"/>
      <c r="D7" s="2335"/>
      <c r="E7" s="2336"/>
      <c r="F7" s="2336"/>
      <c r="G7" s="2336"/>
      <c r="H7" s="2337"/>
      <c r="I7" s="2338"/>
    </row>
    <row r="8" spans="2:9">
      <c r="B8" s="2216">
        <f t="shared" si="0"/>
        <v>4</v>
      </c>
      <c r="C8" s="2334"/>
      <c r="D8" s="2335"/>
      <c r="E8" s="2336"/>
      <c r="F8" s="2336"/>
      <c r="G8" s="2336"/>
      <c r="H8" s="2337"/>
      <c r="I8" s="2338"/>
    </row>
    <row r="9" spans="2:9">
      <c r="B9" s="2216">
        <f t="shared" si="0"/>
        <v>5</v>
      </c>
      <c r="C9" s="2334"/>
      <c r="D9" s="2335"/>
      <c r="E9" s="2336"/>
      <c r="F9" s="2336"/>
      <c r="G9" s="2336"/>
      <c r="H9" s="2337"/>
      <c r="I9" s="2338"/>
    </row>
    <row r="10" spans="2:9">
      <c r="B10" s="2216">
        <f t="shared" si="0"/>
        <v>6</v>
      </c>
      <c r="C10" s="2334"/>
      <c r="D10" s="2335"/>
      <c r="E10" s="2336"/>
      <c r="F10" s="2336"/>
      <c r="G10" s="2336"/>
      <c r="H10" s="2337"/>
      <c r="I10" s="2338"/>
    </row>
    <row r="11" spans="2:9">
      <c r="B11" s="2216">
        <f t="shared" si="0"/>
        <v>7</v>
      </c>
      <c r="C11" s="2334"/>
      <c r="D11" s="2335"/>
      <c r="E11" s="2336"/>
      <c r="F11" s="2336"/>
      <c r="G11" s="2336"/>
      <c r="H11" s="2337"/>
      <c r="I11" s="2338"/>
    </row>
    <row r="12" spans="2:9">
      <c r="B12" s="2216">
        <f t="shared" si="0"/>
        <v>8</v>
      </c>
      <c r="C12" s="2334"/>
      <c r="D12" s="2335"/>
      <c r="E12" s="2336"/>
      <c r="F12" s="2336"/>
      <c r="G12" s="2336"/>
      <c r="H12" s="2337"/>
      <c r="I12" s="2338"/>
    </row>
    <row r="13" spans="2:9">
      <c r="B13" s="2216">
        <f t="shared" si="0"/>
        <v>9</v>
      </c>
      <c r="C13" s="2334"/>
      <c r="D13" s="2335"/>
      <c r="E13" s="2336"/>
      <c r="F13" s="2336"/>
      <c r="G13" s="2336"/>
      <c r="H13" s="2337"/>
      <c r="I13" s="2338"/>
    </row>
    <row r="14" spans="2:9">
      <c r="B14" s="2216">
        <f t="shared" si="0"/>
        <v>10</v>
      </c>
      <c r="C14" s="2334"/>
      <c r="D14" s="2335"/>
      <c r="E14" s="2336"/>
      <c r="F14" s="2336"/>
      <c r="G14" s="2336"/>
      <c r="H14" s="2337"/>
      <c r="I14" s="2338"/>
    </row>
    <row r="15" spans="2:9">
      <c r="B15" s="2216">
        <f t="shared" si="0"/>
        <v>11</v>
      </c>
      <c r="C15" s="2334"/>
      <c r="D15" s="2335"/>
      <c r="E15" s="2336"/>
      <c r="F15" s="2336"/>
      <c r="G15" s="2336"/>
      <c r="H15" s="2337"/>
      <c r="I15" s="2338"/>
    </row>
    <row r="16" spans="2:9">
      <c r="B16" s="2216">
        <f t="shared" si="0"/>
        <v>12</v>
      </c>
      <c r="C16" s="2334"/>
      <c r="D16" s="2337"/>
      <c r="E16" s="2336"/>
      <c r="F16" s="2336"/>
      <c r="G16" s="2336"/>
      <c r="H16" s="2337"/>
      <c r="I16" s="2338"/>
    </row>
    <row r="17" spans="2:9">
      <c r="B17" s="2216">
        <f t="shared" si="0"/>
        <v>13</v>
      </c>
      <c r="C17" s="2334"/>
      <c r="D17" s="2337"/>
      <c r="E17" s="2336"/>
      <c r="F17" s="2336"/>
      <c r="G17" s="2336"/>
      <c r="H17" s="2337"/>
      <c r="I17" s="2338"/>
    </row>
    <row r="18" spans="2:9">
      <c r="B18" s="2216">
        <f t="shared" si="0"/>
        <v>14</v>
      </c>
      <c r="C18" s="2334"/>
      <c r="D18" s="2337"/>
      <c r="E18" s="2336"/>
      <c r="F18" s="2336"/>
      <c r="G18" s="2336"/>
      <c r="H18" s="2337"/>
      <c r="I18" s="2338"/>
    </row>
    <row r="19" spans="2:9">
      <c r="B19" s="2216">
        <f t="shared" si="0"/>
        <v>15</v>
      </c>
      <c r="C19" s="2334"/>
      <c r="D19" s="2335"/>
      <c r="E19" s="2336"/>
      <c r="F19" s="2336"/>
      <c r="G19" s="2336"/>
      <c r="H19" s="2337"/>
      <c r="I19" s="2338"/>
    </row>
    <row r="20" spans="2:9">
      <c r="B20" s="2216">
        <f t="shared" si="0"/>
        <v>16</v>
      </c>
      <c r="C20" s="2334"/>
      <c r="D20" s="2335"/>
      <c r="E20" s="2336"/>
      <c r="F20" s="2336"/>
      <c r="G20" s="2336"/>
      <c r="H20" s="2337"/>
      <c r="I20" s="2338"/>
    </row>
    <row r="21" spans="2:9">
      <c r="B21" s="2216">
        <f t="shared" si="0"/>
        <v>17</v>
      </c>
      <c r="C21" s="2334"/>
      <c r="D21" s="2335"/>
      <c r="E21" s="2336"/>
      <c r="F21" s="2336"/>
      <c r="G21" s="2336"/>
      <c r="H21" s="2337"/>
      <c r="I21" s="2338"/>
    </row>
    <row r="22" spans="2:9">
      <c r="B22" s="2216">
        <f t="shared" si="0"/>
        <v>18</v>
      </c>
      <c r="C22" s="2334"/>
      <c r="D22" s="2337"/>
      <c r="E22" s="2336"/>
      <c r="F22" s="2336"/>
      <c r="G22" s="2336"/>
      <c r="H22" s="2337"/>
      <c r="I22" s="2338"/>
    </row>
    <row r="23" spans="2:9">
      <c r="B23" s="2216">
        <f t="shared" si="0"/>
        <v>19</v>
      </c>
      <c r="C23" s="2334"/>
      <c r="D23" s="2335"/>
      <c r="E23" s="2336"/>
      <c r="F23" s="2336"/>
      <c r="G23" s="2336"/>
      <c r="H23" s="2337"/>
      <c r="I23" s="2338"/>
    </row>
    <row r="24" spans="2:9">
      <c r="B24" s="2216">
        <f t="shared" si="0"/>
        <v>20</v>
      </c>
      <c r="C24" s="2334"/>
      <c r="D24" s="2337"/>
      <c r="E24" s="2336"/>
      <c r="F24" s="2336"/>
      <c r="G24" s="2336"/>
      <c r="H24" s="2337"/>
      <c r="I24" s="2338"/>
    </row>
    <row r="25" spans="2:9">
      <c r="B25" s="2216">
        <f t="shared" si="0"/>
        <v>21</v>
      </c>
      <c r="C25" s="2334"/>
      <c r="D25" s="2335"/>
      <c r="E25" s="2336"/>
      <c r="F25" s="2336"/>
      <c r="G25" s="2336"/>
      <c r="H25" s="2337"/>
      <c r="I25" s="2338"/>
    </row>
    <row r="26" spans="2:9">
      <c r="B26" s="2216">
        <f t="shared" si="0"/>
        <v>22</v>
      </c>
      <c r="C26" s="2334"/>
      <c r="D26" s="2335"/>
      <c r="E26" s="2336"/>
      <c r="F26" s="2336"/>
      <c r="G26" s="2336"/>
      <c r="H26" s="2337"/>
      <c r="I26" s="2338"/>
    </row>
    <row r="27" spans="2:9">
      <c r="B27" s="2216">
        <f t="shared" si="0"/>
        <v>23</v>
      </c>
      <c r="C27" s="2334"/>
      <c r="D27" s="2337"/>
      <c r="E27" s="2336"/>
      <c r="F27" s="2336"/>
      <c r="G27" s="2336"/>
      <c r="H27" s="2337"/>
      <c r="I27" s="2338"/>
    </row>
    <row r="28" spans="2:9">
      <c r="B28" s="2216">
        <f t="shared" si="0"/>
        <v>24</v>
      </c>
      <c r="C28" s="2334"/>
      <c r="D28" s="2335"/>
      <c r="E28" s="2336"/>
      <c r="F28" s="2336"/>
      <c r="G28" s="2336"/>
      <c r="H28" s="2337"/>
      <c r="I28" s="2338"/>
    </row>
    <row r="29" spans="2:9">
      <c r="B29" s="2216">
        <f t="shared" si="0"/>
        <v>25</v>
      </c>
      <c r="C29" s="2334"/>
      <c r="D29" s="2337"/>
      <c r="E29" s="2336"/>
      <c r="F29" s="2336"/>
      <c r="G29" s="2336"/>
      <c r="H29" s="2337"/>
      <c r="I29" s="2338"/>
    </row>
    <row r="30" spans="2:9">
      <c r="B30" s="2216">
        <f t="shared" si="0"/>
        <v>26</v>
      </c>
      <c r="C30" s="2334"/>
      <c r="D30" s="2337"/>
      <c r="E30" s="2336"/>
      <c r="F30" s="2339"/>
      <c r="G30" s="2336"/>
      <c r="H30" s="2337"/>
      <c r="I30" s="2338"/>
    </row>
    <row r="31" spans="2:9">
      <c r="B31" s="2216">
        <f>B30+1</f>
        <v>27</v>
      </c>
      <c r="C31" s="2334"/>
      <c r="D31" s="2335"/>
      <c r="E31" s="2336"/>
      <c r="F31" s="2336"/>
      <c r="G31" s="2334"/>
      <c r="H31" s="2337"/>
      <c r="I31" s="2338"/>
    </row>
    <row r="32" spans="2:9">
      <c r="B32" s="2216">
        <f t="shared" si="0"/>
        <v>28</v>
      </c>
      <c r="C32" s="2334"/>
      <c r="D32" s="2335"/>
      <c r="E32" s="2336"/>
      <c r="F32" s="2336"/>
      <c r="G32" s="2334"/>
      <c r="H32" s="2337"/>
      <c r="I32" s="2338"/>
    </row>
    <row r="33" spans="2:9">
      <c r="B33" s="2216">
        <f t="shared" si="0"/>
        <v>29</v>
      </c>
      <c r="C33" s="2340"/>
      <c r="D33" s="2341"/>
      <c r="E33" s="2339"/>
      <c r="F33" s="2339"/>
      <c r="G33" s="2339"/>
      <c r="H33" s="2341"/>
      <c r="I33" s="2342"/>
    </row>
    <row r="34" spans="2:9">
      <c r="B34" s="2216">
        <f t="shared" si="0"/>
        <v>30</v>
      </c>
      <c r="C34" s="2334"/>
      <c r="D34" s="2337"/>
      <c r="E34" s="2339"/>
      <c r="F34" s="2336"/>
      <c r="G34" s="2339"/>
      <c r="H34" s="2341"/>
      <c r="I34" s="2338"/>
    </row>
    <row r="35" spans="2:9">
      <c r="B35" s="2216">
        <f t="shared" si="0"/>
        <v>31</v>
      </c>
      <c r="C35" s="2334"/>
      <c r="D35" s="2337"/>
      <c r="E35" s="2336"/>
      <c r="F35" s="2336"/>
      <c r="G35" s="2339"/>
      <c r="H35" s="2341"/>
      <c r="I35" s="2338"/>
    </row>
    <row r="36" spans="2:9">
      <c r="B36" s="2216">
        <f t="shared" si="0"/>
        <v>32</v>
      </c>
      <c r="C36" s="2334"/>
      <c r="D36" s="2337"/>
      <c r="E36" s="2336"/>
      <c r="F36" s="2336"/>
      <c r="G36" s="2336"/>
      <c r="H36" s="2337"/>
      <c r="I36" s="2338"/>
    </row>
    <row r="37" spans="2:9">
      <c r="B37" s="2216">
        <f t="shared" si="0"/>
        <v>33</v>
      </c>
      <c r="C37" s="2334"/>
      <c r="D37" s="2337"/>
      <c r="E37" s="2336"/>
      <c r="F37" s="2336"/>
      <c r="G37" s="2336"/>
      <c r="H37" s="2337"/>
      <c r="I37" s="2338"/>
    </row>
    <row r="38" spans="2:9">
      <c r="B38" s="2216">
        <f t="shared" si="0"/>
        <v>34</v>
      </c>
      <c r="C38" s="2334"/>
      <c r="D38" s="2337"/>
      <c r="E38" s="2336"/>
      <c r="F38" s="2336"/>
      <c r="G38" s="2336"/>
      <c r="H38" s="2337"/>
      <c r="I38" s="2338"/>
    </row>
    <row r="39" spans="2:9">
      <c r="B39" s="2216">
        <f t="shared" si="0"/>
        <v>35</v>
      </c>
      <c r="C39" s="2334"/>
      <c r="D39" s="2337"/>
      <c r="E39" s="2343"/>
      <c r="F39" s="2336"/>
      <c r="G39" s="2336"/>
      <c r="H39" s="2337"/>
      <c r="I39" s="2338"/>
    </row>
    <row r="40" spans="2:9">
      <c r="B40" s="2216">
        <f t="shared" si="0"/>
        <v>36</v>
      </c>
      <c r="C40" s="2334"/>
      <c r="D40" s="2337"/>
      <c r="E40" s="2343"/>
      <c r="F40" s="2336"/>
      <c r="G40" s="2336"/>
      <c r="H40" s="2337"/>
      <c r="I40" s="2338"/>
    </row>
    <row r="41" spans="2:9">
      <c r="B41" s="2216">
        <f t="shared" si="0"/>
        <v>37</v>
      </c>
      <c r="C41" s="2334"/>
      <c r="D41" s="2337"/>
      <c r="E41" s="2343"/>
      <c r="F41" s="2336"/>
      <c r="G41" s="2336"/>
      <c r="H41" s="2337"/>
      <c r="I41" s="2338"/>
    </row>
    <row r="42" spans="2:9">
      <c r="B42" s="2216">
        <f t="shared" si="0"/>
        <v>38</v>
      </c>
      <c r="C42" s="2334"/>
      <c r="D42" s="2337"/>
      <c r="E42" s="2343"/>
      <c r="F42" s="2336"/>
      <c r="G42" s="2336"/>
      <c r="H42" s="2337"/>
      <c r="I42" s="2338"/>
    </row>
    <row r="43" spans="2:9">
      <c r="B43" s="2216">
        <f>B42+1</f>
        <v>39</v>
      </c>
      <c r="C43" s="2334"/>
      <c r="D43" s="2337"/>
      <c r="E43" s="2336"/>
      <c r="F43" s="2336"/>
      <c r="G43" s="2336"/>
      <c r="H43" s="2337"/>
      <c r="I43" s="2338"/>
    </row>
    <row r="44" spans="2:9">
      <c r="B44" s="2216">
        <f t="shared" si="0"/>
        <v>40</v>
      </c>
      <c r="C44" s="2334"/>
      <c r="D44" s="2337"/>
      <c r="E44" s="2336"/>
      <c r="F44" s="2336"/>
      <c r="G44" s="2336"/>
      <c r="H44" s="2337"/>
      <c r="I44" s="2338"/>
    </row>
    <row r="45" spans="2:9">
      <c r="B45" s="2216">
        <f t="shared" si="0"/>
        <v>41</v>
      </c>
      <c r="C45" s="2334"/>
      <c r="D45" s="2337"/>
      <c r="E45" s="2336"/>
      <c r="F45" s="2336"/>
      <c r="G45" s="2336"/>
      <c r="H45" s="2337"/>
      <c r="I45" s="2338"/>
    </row>
    <row r="46" spans="2:9">
      <c r="B46" s="2216">
        <f t="shared" si="0"/>
        <v>42</v>
      </c>
      <c r="C46" s="2334"/>
      <c r="D46" s="2337"/>
      <c r="E46" s="2336"/>
      <c r="F46" s="2336"/>
      <c r="G46" s="2336"/>
      <c r="H46" s="2337"/>
      <c r="I46" s="2338"/>
    </row>
    <row r="47" spans="2:9">
      <c r="B47" s="2216">
        <f t="shared" si="0"/>
        <v>43</v>
      </c>
      <c r="C47" s="2334"/>
      <c r="D47" s="2337"/>
      <c r="E47" s="2336"/>
      <c r="F47" s="2336"/>
      <c r="G47" s="2336"/>
      <c r="H47" s="2337"/>
      <c r="I47" s="2338"/>
    </row>
    <row r="48" spans="2:9">
      <c r="B48" s="2216">
        <f>B47+1</f>
        <v>44</v>
      </c>
      <c r="C48" s="2334"/>
      <c r="D48" s="2337"/>
      <c r="E48" s="2336"/>
      <c r="F48" s="2336"/>
      <c r="G48" s="2336"/>
      <c r="H48" s="2337"/>
      <c r="I48" s="2338"/>
    </row>
    <row r="49" spans="1:18">
      <c r="B49" s="2216">
        <f t="shared" si="0"/>
        <v>45</v>
      </c>
      <c r="C49" s="2334"/>
      <c r="D49" s="2337"/>
      <c r="E49" s="2336"/>
      <c r="F49" s="2336"/>
      <c r="G49" s="2336"/>
      <c r="H49" s="2337"/>
      <c r="I49" s="2338"/>
    </row>
    <row r="50" spans="1:18">
      <c r="B50" s="2216">
        <f t="shared" si="0"/>
        <v>46</v>
      </c>
      <c r="C50" s="2334"/>
      <c r="D50" s="2337"/>
      <c r="E50" s="2336"/>
      <c r="F50" s="2336"/>
      <c r="G50" s="2336"/>
      <c r="H50" s="2337"/>
      <c r="I50" s="2338"/>
    </row>
    <row r="51" spans="1:18">
      <c r="B51" s="2216">
        <f t="shared" si="0"/>
        <v>47</v>
      </c>
      <c r="C51" s="2334"/>
      <c r="D51" s="2337"/>
      <c r="E51" s="2336"/>
      <c r="F51" s="2336"/>
      <c r="G51" s="2336"/>
      <c r="H51" s="2337"/>
      <c r="I51" s="2338"/>
    </row>
    <row r="52" spans="1:18">
      <c r="B52" s="2216">
        <f t="shared" si="0"/>
        <v>48</v>
      </c>
      <c r="C52" s="2334"/>
      <c r="D52" s="2337"/>
      <c r="E52" s="2336"/>
      <c r="F52" s="2336"/>
      <c r="G52" s="2336"/>
      <c r="H52" s="2337"/>
      <c r="I52" s="2338"/>
    </row>
    <row r="53" spans="1:18">
      <c r="B53" s="2216">
        <f t="shared" si="0"/>
        <v>49</v>
      </c>
      <c r="C53" s="2334"/>
      <c r="D53" s="2337"/>
      <c r="E53" s="2336"/>
      <c r="F53" s="2336"/>
      <c r="G53" s="2336"/>
      <c r="H53" s="2337"/>
      <c r="I53" s="2338"/>
    </row>
    <row r="54" spans="1:18" ht="15" thickBot="1">
      <c r="B54" s="2217">
        <f>B53+1</f>
        <v>50</v>
      </c>
      <c r="C54" s="2344"/>
      <c r="D54" s="2345"/>
      <c r="E54" s="2346"/>
      <c r="F54" s="2346"/>
      <c r="G54" s="2346"/>
      <c r="H54" s="2345"/>
      <c r="I54" s="2347"/>
    </row>
    <row r="55" spans="1:18"/>
    <row r="56" spans="1:18" ht="20.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tr">
        <f>"Application of the impacts of COVID-19 on PCC reported performance for " &amp; InpCompany!$F$5</f>
        <v>Application of the impacts of COVID-19 on PCC reported performance for SES Water</v>
      </c>
      <c r="N36" s="2261" t="str">
        <f>IF($G38="PR19SSC_C3","_South Staffs region","")</f>
        <v/>
      </c>
      <c r="T36" s="433"/>
      <c r="U36" s="433"/>
    </row>
    <row r="38" spans="3:32">
      <c r="E38" s="2093" t="s">
        <v>780</v>
      </c>
      <c r="F38" s="2083"/>
      <c r="G38" s="2092" t="str">
        <f>'3A'!$C$13</f>
        <v>PR19SES_E.1</v>
      </c>
      <c r="H38" s="2083"/>
      <c r="I38" s="2084" t="str">
        <f>IF('Validation summary'!$B$3="South Staffs Water","SST",InpCompany!$F$6)</f>
        <v>SES</v>
      </c>
      <c r="M38" s="2433"/>
      <c r="N38" s="2433"/>
      <c r="O38" s="2433"/>
      <c r="P38" s="2433"/>
      <c r="Q38" s="2433"/>
      <c r="R38" s="2433"/>
      <c r="S38" s="2433"/>
      <c r="T38" s="2433"/>
      <c r="U38" s="2043"/>
      <c r="V38" s="1961"/>
    </row>
    <row r="39" spans="3:32">
      <c r="G39" s="2064"/>
      <c r="K39" s="2065"/>
      <c r="M39" s="2434" t="s">
        <v>781</v>
      </c>
      <c r="N39" s="2434"/>
      <c r="O39" s="2435"/>
      <c r="P39" s="2436" t="s">
        <v>781</v>
      </c>
      <c r="Q39" s="2434"/>
      <c r="R39" s="2434"/>
      <c r="S39" s="2434"/>
      <c r="T39" s="2435"/>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v>
      </c>
      <c r="Q42" s="2067" cm="1">
        <f t="array" ref="Q42">INDEX(App1bdata,MATCH($G$38,App1bIDnrs,0),VLOOKUP(Q$40,ProfileInps,4,0))</f>
        <v>2.2999999999999998</v>
      </c>
      <c r="R42" s="2067" cm="1">
        <f t="array" ref="R42">INDEX(App1bdata,MATCH($G$38,App1bIDnrs,0),VLOOKUP(R$40,ProfileInps,4,0))</f>
        <v>3.8</v>
      </c>
      <c r="S42" s="2067" cm="1">
        <f t="array" ref="S42">INDEX(App1bdata,MATCH($G$38,App1bIDnrs,0),VLOOKUP(S$40,ProfileInps,4,0))</f>
        <v>5.2</v>
      </c>
      <c r="T42" s="2068" cm="1">
        <f t="array" ref="T42">INDEX(App1bdata,MATCH($G$38,App1bIDnrs,0),VLOOKUP(T$40,ProfileInps,4,0))</f>
        <v>6.6</v>
      </c>
      <c r="U42" s="2067"/>
      <c r="V42" s="433" t="s">
        <v>792</v>
      </c>
    </row>
    <row r="43" spans="3:32">
      <c r="E43" s="2086" t="s">
        <v>793</v>
      </c>
      <c r="F43" s="2087"/>
      <c r="G43" s="2087"/>
      <c r="H43" s="2087"/>
      <c r="I43" s="2087"/>
      <c r="J43" s="2087"/>
      <c r="K43" s="2086" t="s">
        <v>366</v>
      </c>
      <c r="L43" s="2086"/>
      <c r="M43" s="2086"/>
      <c r="N43" s="2086"/>
      <c r="O43" s="2088"/>
      <c r="P43" s="2140">
        <f>ROUND(P53 * (1-P42/100),1)</f>
        <v>147.5</v>
      </c>
      <c r="Q43" s="2140">
        <f>ROUND(Q53 * (1-Q42/100),1)</f>
        <v>145.6</v>
      </c>
      <c r="R43" s="2140">
        <f>ROUND(R53 * (1-R42/100),1)</f>
        <v>143.30000000000001</v>
      </c>
      <c r="S43" s="2140">
        <f>ROUND(S53 * (1-S42/100),1)</f>
        <v>141.30000000000001</v>
      </c>
      <c r="T43" s="2141">
        <f>ROUND(T53 * (1-T42/100),1)</f>
        <v>139.19999999999999</v>
      </c>
      <c r="U43" s="2140"/>
      <c r="V43" s="2086" t="s">
        <v>794</v>
      </c>
      <c r="W43" s="2087"/>
    </row>
    <row r="44" spans="3:32">
      <c r="E44" s="433" t="s">
        <v>795</v>
      </c>
      <c r="K44" s="433" t="s">
        <v>188</v>
      </c>
      <c r="L44" s="433"/>
      <c r="M44" s="433"/>
      <c r="N44" s="433"/>
      <c r="O44" s="2071"/>
      <c r="P44" s="2069" t="str" cm="1">
        <f t="array" ref="P44">INDEX(App1bdata,MATCH($G$38,App1bIDnrs,0),VLOOKUP(P$40,ProfileInps,2,0))</f>
        <v/>
      </c>
      <c r="Q44" s="2067" t="str" cm="1">
        <f t="array" ref="Q44">INDEX(App1bdata,MATCH($G$38,App1bIDnrs,0),VLOOKUP(Q$40,ProfileInps,2,0))</f>
        <v/>
      </c>
      <c r="R44" s="2067" t="str" cm="1">
        <f t="array" ref="R44">INDEX(App1bdata,MATCH($G$38,App1bIDnrs,0),VLOOKUP(R$40,ProfileInps,2,0))</f>
        <v/>
      </c>
      <c r="S44" s="2067" t="str" cm="1">
        <f t="array" ref="S44">INDEX(App1bdata,MATCH($G$38,App1bIDnrs,0),VLOOKUP(S$40,ProfileInps,2,0))</f>
        <v/>
      </c>
      <c r="T44" s="2068" t="str" cm="1">
        <f t="array" ref="T44">INDEX(App1bdata,MATCH($G$38,App1bIDnrs,0),VLOOKUP(T$40,ProfileInps,2,0))</f>
        <v/>
      </c>
      <c r="U44" s="2067"/>
      <c r="V44" s="433" t="s">
        <v>792</v>
      </c>
    </row>
    <row r="45" spans="3:32">
      <c r="E45" s="2086" t="s">
        <v>796</v>
      </c>
      <c r="F45" s="2087"/>
      <c r="G45" s="2087"/>
      <c r="H45" s="2087"/>
      <c r="I45" s="2087"/>
      <c r="J45" s="2087"/>
      <c r="K45" s="2086" t="s">
        <v>366</v>
      </c>
      <c r="L45" s="2086"/>
      <c r="M45" s="2086"/>
      <c r="N45" s="2086"/>
      <c r="O45" s="2088"/>
      <c r="P45" s="2089" t="str">
        <f>IF(P44="","",ROUND(P$53 * (1-P44/100),1))</f>
        <v/>
      </c>
      <c r="Q45" s="2090" t="str">
        <f>IF(Q44="","",ROUND(Q$53 * (1-Q44/100),1))</f>
        <v/>
      </c>
      <c r="R45" s="2090" t="str">
        <f>IF(R44="","",ROUND(R$53 * (1-R44/100),1))</f>
        <v/>
      </c>
      <c r="S45" s="2090" t="str">
        <f>IF(S44="","",ROUND(S$53 * (1-S44/100),1))</f>
        <v/>
      </c>
      <c r="T45" s="2091" t="str">
        <f>IF(T44="","",ROUND(T$53 * (1-T44/100),1))</f>
        <v/>
      </c>
      <c r="U45" s="2090"/>
      <c r="V45" s="2086" t="s">
        <v>794</v>
      </c>
      <c r="W45" s="2087"/>
    </row>
    <row r="46" spans="3:32">
      <c r="E46" s="433" t="s">
        <v>797</v>
      </c>
      <c r="K46" s="433" t="s">
        <v>188</v>
      </c>
      <c r="L46" s="433"/>
      <c r="M46" s="433"/>
      <c r="N46" s="433"/>
      <c r="O46" s="2071"/>
      <c r="P46" s="2069" cm="1">
        <f t="array" ref="P46">INDEX(App1bdata,MATCH($G$38,App1bIDnrs,0),VLOOKUP(P$40,ProfileInps,6,0))</f>
        <v>-8.9</v>
      </c>
      <c r="Q46" s="2067" cm="1">
        <f t="array" ref="Q46">INDEX(App1bdata,MATCH($G$38,App1bIDnrs,0),VLOOKUP(Q$40,ProfileInps,6,0))</f>
        <v>-8.9</v>
      </c>
      <c r="R46" s="2067" cm="1">
        <f t="array" ref="R46">INDEX(App1bdata,MATCH($G$38,App1bIDnrs,0),VLOOKUP(R$40,ProfileInps,6,0))</f>
        <v>-8.9</v>
      </c>
      <c r="S46" s="2067" cm="1">
        <f t="array" ref="S46">INDEX(App1bdata,MATCH($G$38,App1bIDnrs,0),VLOOKUP(S$40,ProfileInps,6,0))</f>
        <v>-8.9</v>
      </c>
      <c r="T46" s="2068" cm="1">
        <f t="array" ref="T46">INDEX(App1bdata,MATCH($G$38,App1bIDnrs,0),VLOOKUP(T$40,ProfileInps,6,0))</f>
        <v>-8.9</v>
      </c>
      <c r="U46" s="2067"/>
      <c r="V46" s="433" t="s">
        <v>792</v>
      </c>
    </row>
    <row r="47" spans="3:32">
      <c r="E47" s="2086" t="s">
        <v>798</v>
      </c>
      <c r="F47" s="2087"/>
      <c r="G47" s="2087"/>
      <c r="H47" s="2087"/>
      <c r="I47" s="2087"/>
      <c r="J47" s="2087"/>
      <c r="K47" s="2086" t="s">
        <v>366</v>
      </c>
      <c r="L47" s="2086"/>
      <c r="M47" s="2086"/>
      <c r="N47" s="2086"/>
      <c r="O47" s="2088"/>
      <c r="P47" s="2089">
        <f>IF(P46="","",ROUND(P$53 * (1-P46/100),1))</f>
        <v>162.30000000000001</v>
      </c>
      <c r="Q47" s="2090">
        <f>IF(Q46="","",ROUND(Q$53 * (1-Q46/100),1))</f>
        <v>162.30000000000001</v>
      </c>
      <c r="R47" s="2090">
        <f>IF(R46="","",ROUND(R$53 * (1-R46/100),1))</f>
        <v>162.30000000000001</v>
      </c>
      <c r="S47" s="2090">
        <f>IF(S46="","",ROUND(S$53 * (1-S46/100),1))</f>
        <v>162.30000000000001</v>
      </c>
      <c r="T47" s="2091">
        <f>IF(T46="","",ROUND(T$53 * (1-T46/100),1))</f>
        <v>162.30000000000001</v>
      </c>
      <c r="U47" s="2090"/>
      <c r="V47" s="2086" t="s">
        <v>794</v>
      </c>
      <c r="W47" s="2087"/>
    </row>
    <row r="48" spans="3:32">
      <c r="E48" s="433" t="s">
        <v>799</v>
      </c>
      <c r="K48" s="433" t="s">
        <v>800</v>
      </c>
      <c r="L48" s="2156">
        <f>IF(INDEX(App1bdata,MATCH($G$38,App1bIDnrs,0),101)="",0,INDEX(App1bdata,MATCH($G$38,App1bIDnrs,0),101))</f>
        <v>0</v>
      </c>
      <c r="M48" s="433"/>
      <c r="N48" s="433"/>
      <c r="O48" s="2071"/>
      <c r="P48" s="433"/>
      <c r="Q48" s="2070"/>
      <c r="R48" s="2070"/>
      <c r="S48" s="2070"/>
      <c r="T48" s="2073"/>
      <c r="U48" s="2070"/>
      <c r="V48" s="433" t="s">
        <v>801</v>
      </c>
    </row>
    <row r="49" spans="4:22">
      <c r="E49" s="433" t="s">
        <v>802</v>
      </c>
      <c r="K49" s="433" t="s">
        <v>800</v>
      </c>
      <c r="L49" s="2066">
        <f>INDEX(App1bdata,MATCH($G$38,App1bIDnrs,0),97)</f>
        <v>-8.7999999999999995E-2</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146.80000000000001</v>
      </c>
      <c r="N52" s="2248">
        <f>IF('Validation summary'!$B$3="South Staffs Water",ROUND('3F.1'!E$19,1),ROUND('3F'!E$19,1))</f>
        <v>156.9</v>
      </c>
      <c r="O52" s="2249">
        <f>IF('Validation summary'!$B$3="South Staffs Water",ROUND('3F.1'!F$19,1),ROUND('3F'!F$19,1))</f>
        <v>143.30000000000001</v>
      </c>
      <c r="P52" s="2248">
        <f>IF('Validation summary'!$B$3="South Staffs Water",ROUND('3F.1'!H$19,1),ROUND('3F'!H$19,1))</f>
        <v>163.4</v>
      </c>
      <c r="Q52" s="2248">
        <f>IF('Validation summary'!$B$3="South Staffs Water",ROUND('3F.1'!I$19,1),ROUND('3F'!I$19,1))</f>
        <v>151.5</v>
      </c>
      <c r="R52" s="2248">
        <f>IF('Validation summary'!$B$3="South Staffs Water",ROUND('3F.1'!J$19,1),ROUND('3F'!J$19,1))</f>
        <v>150.80000000000001</v>
      </c>
      <c r="S52" s="2248">
        <f>IF('Validation summary'!$B$3="South Staffs Water",ROUND('3F.1'!K$19,1),ROUND('3F'!K$19,1))</f>
        <v>146.4</v>
      </c>
      <c r="T52" s="2250">
        <f>IF('Validation summary'!$B$3="South Staffs Water",ROUND('3F.1'!L$19,1),ROUND('3F'!L$19,1))</f>
        <v>146.4</v>
      </c>
      <c r="U52" s="2067"/>
      <c r="V52" s="433" t="s">
        <v>5291</v>
      </c>
    </row>
    <row r="53" spans="4:22">
      <c r="E53" s="433" t="s">
        <v>805</v>
      </c>
      <c r="K53" s="433" t="s">
        <v>366</v>
      </c>
      <c r="L53" s="433"/>
      <c r="M53" s="2066"/>
      <c r="N53" s="2066"/>
      <c r="O53" s="2102"/>
      <c r="P53" s="2072">
        <f>ROUND(AVERAGE($M52:$O52),1)</f>
        <v>149</v>
      </c>
      <c r="Q53" s="2072">
        <f t="shared" ref="Q53:T53" si="0">ROUND(AVERAGE($M52:$O52),1)</f>
        <v>149</v>
      </c>
      <c r="R53" s="2072">
        <f t="shared" si="0"/>
        <v>149</v>
      </c>
      <c r="S53" s="2072">
        <f t="shared" si="0"/>
        <v>149</v>
      </c>
      <c r="T53" s="2142">
        <f t="shared" si="0"/>
        <v>149</v>
      </c>
      <c r="U53" s="2067"/>
      <c r="V53" s="433" t="s">
        <v>806</v>
      </c>
    </row>
    <row r="54" spans="4:22">
      <c r="E54" s="433" t="s">
        <v>807</v>
      </c>
      <c r="K54" s="433" t="s">
        <v>148</v>
      </c>
      <c r="L54" s="433"/>
      <c r="M54" s="2066"/>
      <c r="N54" s="2066"/>
      <c r="O54" s="2102"/>
      <c r="P54" s="2251">
        <f>IF('Validation summary'!$B$3="South Staffs Water",VLOOKUP("SSC_SST",PCCpayments_FD24,3,0),VLOOKUP($I$38,PCCpayments_FD24,3,0))</f>
        <v>-0.61599999999999999</v>
      </c>
      <c r="Q54" s="2251">
        <f>IF('Validation summary'!$B$3="South Staffs Water",VLOOKUP("SSC_SST",PCCpayments_FD24,4,0),VLOOKUP($I$38,PCCpayments_FD24,4,0))</f>
        <v>-0.62479999999999947</v>
      </c>
      <c r="R54" s="2251">
        <f>IF('Validation summary'!$B$3="South Staffs Water",VLOOKUP("SSC_SST",PCCpayments_FD24,5,0),VLOOKUP($I$38,PCCpayments_FD24,5,0))</f>
        <v>-1.0471999999999979</v>
      </c>
      <c r="S54" s="2251">
        <f>IF('Validation summary'!$B$3="South Staffs Water",VLOOKUP("SSC_SST",PCCpayments_FD24,6,0),VLOOKUP($I$38,PCCpayments_FD24,6,0))</f>
        <v>-0.73039999999999849</v>
      </c>
      <c r="T54" s="2252">
        <f>'3A'!$H$13</f>
        <v>-0.76559999999999995</v>
      </c>
      <c r="U54" s="2256">
        <f>SUM(P54:T54)</f>
        <v>-3.7839999999999963</v>
      </c>
      <c r="V54" s="433" t="s">
        <v>5297</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9.8000000000000007</v>
      </c>
      <c r="Q58" s="2253">
        <f>VLOOKUP($I$38,$M$15:$Q$32,4,0)</f>
        <v>3.1</v>
      </c>
      <c r="R58" s="2254">
        <f>Q58 - (($Q58-$T58) / 3)</f>
        <v>2.8000000000000003</v>
      </c>
      <c r="S58" s="2254">
        <f>R58 - (($Q58-$T58) / 3)</f>
        <v>2.5000000000000004</v>
      </c>
      <c r="T58" s="2255">
        <f>MAX($AD$15,VLOOKUP($I$38,$T$15:$U$32,2,0))</f>
        <v>2.2000000000000002</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146.80000000000001</v>
      </c>
      <c r="N60" s="2072">
        <f>N52</f>
        <v>156.9</v>
      </c>
      <c r="O60" s="2142">
        <f>O52</f>
        <v>143.30000000000001</v>
      </c>
      <c r="P60" s="2056">
        <f>P52 * (1 - P58 / 100)</f>
        <v>147.38680000000002</v>
      </c>
      <c r="Q60" s="2056">
        <f t="shared" ref="Q60:T60" si="1">Q52 * (1 - Q58 / 100)</f>
        <v>146.80349999999999</v>
      </c>
      <c r="R60" s="2056">
        <f t="shared" si="1"/>
        <v>146.57760000000002</v>
      </c>
      <c r="S60" s="2056">
        <f t="shared" si="1"/>
        <v>142.74</v>
      </c>
      <c r="T60" s="2080">
        <f t="shared" si="1"/>
        <v>143.17920000000001</v>
      </c>
      <c r="U60" s="2070"/>
      <c r="V60" s="433" t="s">
        <v>814</v>
      </c>
    </row>
    <row r="61" spans="4:22">
      <c r="E61" s="1370" t="s">
        <v>815</v>
      </c>
      <c r="K61" s="433" t="s">
        <v>366</v>
      </c>
      <c r="L61" s="433"/>
      <c r="M61" s="433"/>
      <c r="N61" s="433"/>
      <c r="O61" s="2071"/>
      <c r="P61" s="2056">
        <f>ROUND(AVERAGE(N60:P60),1)</f>
        <v>149.19999999999999</v>
      </c>
      <c r="Q61" s="2056">
        <f>ROUND(AVERAGE(O60:Q60),1)</f>
        <v>145.80000000000001</v>
      </c>
      <c r="R61" s="2056">
        <f>ROUND(AVERAGE(P60:R60),1)</f>
        <v>146.9</v>
      </c>
      <c r="S61" s="2056">
        <f>ROUND(AVERAGE(Q60:S60),1)</f>
        <v>145.4</v>
      </c>
      <c r="T61" s="2080">
        <f>ROUND(AVERAGE(R60:T60),1)</f>
        <v>144.19999999999999</v>
      </c>
      <c r="U61" s="2070"/>
      <c r="V61" s="433" t="s">
        <v>816</v>
      </c>
    </row>
    <row r="62" spans="4:22">
      <c r="E62" s="1370" t="s">
        <v>817</v>
      </c>
      <c r="K62" s="433" t="s">
        <v>188</v>
      </c>
      <c r="L62" s="433"/>
      <c r="M62" s="433"/>
      <c r="N62" s="433"/>
      <c r="O62" s="2071"/>
      <c r="P62" s="2056">
        <f>ROUND((1-P61/P53)*100,1)</f>
        <v>-0.1</v>
      </c>
      <c r="Q62" s="2056">
        <f>ROUND((1-Q61/Q53)*100,1)</f>
        <v>2.1</v>
      </c>
      <c r="R62" s="2056">
        <f>ROUND((1-R61/R53)*100,1)</f>
        <v>1.4</v>
      </c>
      <c r="S62" s="2056">
        <f>ROUND((1-S61/S53)*100,1)</f>
        <v>2.4</v>
      </c>
      <c r="T62" s="2080">
        <f>ROUND((1-T61/T53)*100,1)</f>
        <v>3.2</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na</v>
      </c>
      <c r="Q66" s="449" t="str">
        <f t="shared" ref="Q66:T66" si="3">IF(Q44="","na",IF(Q62&gt;Q44,"Yes","No"))</f>
        <v>na</v>
      </c>
      <c r="R66" s="449" t="str">
        <f t="shared" si="3"/>
        <v>na</v>
      </c>
      <c r="S66" s="449" t="str">
        <f t="shared" si="3"/>
        <v>na</v>
      </c>
      <c r="T66" s="2074" t="str">
        <f t="shared" si="3"/>
        <v>na</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822</v>
      </c>
      <c r="K71" s="433" t="s">
        <v>366</v>
      </c>
      <c r="L71" s="433"/>
      <c r="M71" s="433"/>
      <c r="N71" s="433"/>
      <c r="O71" s="433"/>
      <c r="P71" s="2079">
        <f>IF(P63="Yes","",IF(AND(P63="No",P70="Yes"),P47-P43,P61-P43))</f>
        <v>1.6999999999999886</v>
      </c>
      <c r="Q71" s="2056">
        <f t="shared" ref="Q71:T71" si="6">IF(Q63="Yes","",IF(AND(Q63="No",Q70="Yes"),Q47-Q43,Q61-Q43))</f>
        <v>0.20000000000001705</v>
      </c>
      <c r="R71" s="2056">
        <f t="shared" si="6"/>
        <v>3.5999999999999943</v>
      </c>
      <c r="S71" s="2056">
        <f t="shared" si="6"/>
        <v>4.0999999999999943</v>
      </c>
      <c r="T71" s="2080">
        <f t="shared" si="6"/>
        <v>5</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-0.14959999999999898</v>
      </c>
      <c r="Q74" s="2230">
        <f>IF(Q63="No",Q71*$L$49,-Q67*$L$48)</f>
        <v>-1.76000000000015E-2</v>
      </c>
      <c r="R74" s="2230">
        <f>IF(R63="No",R71*$L$49,-R67*$L$48)</f>
        <v>-0.31679999999999947</v>
      </c>
      <c r="S74" s="2230">
        <f>IF(S63="No",S71*$L$49,-S67*$L$48)</f>
        <v>-0.36079999999999945</v>
      </c>
      <c r="T74" s="2231">
        <f>IF(T63="No",T71*$L$49,-T67*$L$48)</f>
        <v>-0.43999999999999995</v>
      </c>
      <c r="U74" s="2257">
        <f>SUM(P74:T74)</f>
        <v>-1.2847999999999993</v>
      </c>
      <c r="V74" s="433"/>
    </row>
    <row r="75" spans="4:35">
      <c r="E75" s="2143" t="s">
        <v>827</v>
      </c>
      <c r="F75" s="2144"/>
      <c r="G75" s="2144"/>
      <c r="H75" s="2144"/>
      <c r="I75" s="2144"/>
      <c r="J75" s="2144"/>
      <c r="K75" s="2145" t="s">
        <v>148</v>
      </c>
      <c r="L75" s="2145"/>
      <c r="M75" s="2145"/>
      <c r="N75" s="2145"/>
      <c r="O75" s="2145"/>
      <c r="P75" s="2232">
        <f>IF(P54&gt;0,P54,IF(P74&gt;0,0,P74))</f>
        <v>-0.14959999999999898</v>
      </c>
      <c r="Q75" s="2233">
        <f t="shared" ref="Q75:S75" si="7">IF(Q54&gt;0,Q54,IF(Q74&gt;0,0,Q74))</f>
        <v>-1.76000000000015E-2</v>
      </c>
      <c r="R75" s="2233">
        <f t="shared" si="7"/>
        <v>-0.31679999999999947</v>
      </c>
      <c r="S75" s="2233">
        <f t="shared" si="7"/>
        <v>-0.36079999999999945</v>
      </c>
      <c r="T75" s="2234">
        <f>IF(T74&gt;0,0,T74)</f>
        <v>-0.43999999999999995</v>
      </c>
      <c r="U75" s="2258">
        <f>SUM(P75:T75)</f>
        <v>-1.2847999999999993</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-0.75714285714285878</v>
      </c>
      <c r="Q76" s="2236">
        <f t="shared" ref="Q76:U76" si="8">(Q75 - Q54) / Q54</f>
        <v>-0.97183098591549055</v>
      </c>
      <c r="R76" s="2236">
        <f t="shared" si="8"/>
        <v>-0.69747899159663851</v>
      </c>
      <c r="S76" s="2237">
        <f t="shared" si="8"/>
        <v>-0.50602409638554191</v>
      </c>
      <c r="T76" s="2238">
        <f t="shared" si="8"/>
        <v>-0.42528735632183912</v>
      </c>
      <c r="U76" s="2259">
        <f t="shared" si="8"/>
        <v>-0.66046511627906968</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No</v>
      </c>
      <c r="M80" s="433"/>
      <c r="N80" s="433"/>
      <c r="O80" s="433"/>
      <c r="P80" s="2077"/>
      <c r="Q80" s="2076"/>
      <c r="R80" s="2076"/>
      <c r="S80" s="2076"/>
      <c r="T80" s="2212"/>
      <c r="U80" s="2246"/>
      <c r="V80" s="433"/>
    </row>
    <row r="81" spans="2:35">
      <c r="E81" s="433" t="s">
        <v>834</v>
      </c>
      <c r="K81" s="433" t="s">
        <v>718</v>
      </c>
      <c r="L81" s="2128" t="str">
        <f>IF(COUNTIF(P54:S54,"&gt;0")=1,"Yes","No")</f>
        <v>No</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-0.14959999999999898</v>
      </c>
      <c r="Q83" s="2240">
        <f t="shared" ref="Q83:T83" si="10">IF($L80="No",Q75,IF(Q54&gt;0,Q54,(Q75/(($U75-SUM($P82:$S82)))*($U83-SUM($P82:$S82)))))</f>
        <v>-1.76000000000015E-2</v>
      </c>
      <c r="R83" s="2240">
        <f t="shared" si="10"/>
        <v>-0.31679999999999947</v>
      </c>
      <c r="S83" s="2240">
        <f t="shared" si="10"/>
        <v>-0.36079999999999945</v>
      </c>
      <c r="T83" s="2241">
        <f t="shared" si="10"/>
        <v>-0.43999999999999995</v>
      </c>
      <c r="U83" s="2260">
        <f>IF($L80="No",U75,U54-((MAX(ABS($U76),$L79)*$U54)))</f>
        <v>-1.2847999999999993</v>
      </c>
      <c r="V83" s="433" t="s">
        <v>837</v>
      </c>
    </row>
    <row r="84" spans="2:35">
      <c r="E84" s="2147" t="s">
        <v>838</v>
      </c>
      <c r="F84" s="2148"/>
      <c r="G84" s="2148"/>
      <c r="H84" s="2148"/>
      <c r="I84" s="2148"/>
      <c r="J84" s="2148"/>
      <c r="K84" s="2147" t="s">
        <v>148</v>
      </c>
      <c r="L84" s="2149"/>
      <c r="M84" s="2147"/>
      <c r="N84" s="2147"/>
      <c r="O84" s="2147"/>
      <c r="P84" s="2242">
        <f>P83</f>
        <v>-0.14959999999999898</v>
      </c>
      <c r="Q84" s="2243">
        <f>Q83</f>
        <v>-1.76000000000015E-2</v>
      </c>
      <c r="R84" s="2243">
        <f>R83</f>
        <v>-0.31679999999999947</v>
      </c>
      <c r="S84" s="2243">
        <f>S83</f>
        <v>-0.36079999999999945</v>
      </c>
      <c r="T84" s="2244">
        <f t="shared" ref="T84" si="11">IF(T83&gt;0,0,T83)</f>
        <v>-0.43999999999999995</v>
      </c>
      <c r="U84" s="2243">
        <f>SUM(P84:T84)</f>
        <v>-1.2847999999999993</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str">
        <f>IF(L80="Yes",(SUM(P84:T84)=U84),"N/A")</f>
        <v>N/A</v>
      </c>
      <c r="M85" s="433"/>
      <c r="N85" s="433"/>
      <c r="O85" s="433"/>
      <c r="P85" s="2245"/>
      <c r="Q85" s="2246"/>
      <c r="R85" s="2246"/>
      <c r="S85" s="2246"/>
      <c r="T85" s="2247"/>
      <c r="U85" s="2246"/>
      <c r="V85" s="433"/>
    </row>
    <row r="86" spans="2:35">
      <c r="E86" s="433" t="s">
        <v>829</v>
      </c>
      <c r="K86" s="433" t="s">
        <v>188</v>
      </c>
      <c r="L86" s="2128"/>
      <c r="M86" s="433"/>
      <c r="N86" s="433"/>
      <c r="O86" s="433"/>
      <c r="P86" s="2235">
        <f>(P84 - P54) / P54</f>
        <v>-0.75714285714285878</v>
      </c>
      <c r="Q86" s="2236">
        <f t="shared" ref="Q86:U86" si="12">(Q84 - Q54) / Q54</f>
        <v>-0.97183098591549055</v>
      </c>
      <c r="R86" s="2236">
        <f t="shared" si="12"/>
        <v>-0.69747899159663851</v>
      </c>
      <c r="S86" s="2236">
        <f t="shared" si="12"/>
        <v>-0.50602409638554191</v>
      </c>
      <c r="T86" s="2238">
        <f t="shared" si="12"/>
        <v>-0.42528735632183912</v>
      </c>
      <c r="U86" s="2236">
        <f t="shared" si="12"/>
        <v>-0.66046511627906968</v>
      </c>
      <c r="V86" s="433"/>
    </row>
    <row r="87" spans="2:35">
      <c r="E87" s="433" t="s">
        <v>840</v>
      </c>
      <c r="K87" s="433" t="s">
        <v>718</v>
      </c>
      <c r="L87" s="2128" t="str">
        <f>IF(L80="Yes",ABS(U86)=L79,"N/A")</f>
        <v>N/A</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5292</v>
      </c>
    </row>
    <row r="99" spans="2:23" ht="18.5">
      <c r="C99" s="2047" t="str">
        <f>IF('Validation summary'!$B$3="South Staffs Water","Application of the impacts of COVID-19 on PCC reported performance for South Staffs Water_Cambridge region","")</f>
        <v/>
      </c>
      <c r="N99" s="2261"/>
      <c r="T99" s="433"/>
      <c r="U99" s="433"/>
    </row>
    <row r="101" spans="2:23">
      <c r="E101" s="2093" t="s">
        <v>780</v>
      </c>
      <c r="F101" s="2083"/>
      <c r="G101" s="2092" t="str">
        <f>IF('Validation summary'!$B$3="South Staffs Water",'3A'!$C$14,"")</f>
        <v/>
      </c>
      <c r="H101" s="2083"/>
      <c r="I101" s="2084" t="str">
        <f>IF('Validation summary'!$B$3="South Staffs Water","CAM","")</f>
        <v/>
      </c>
      <c r="M101" s="2433"/>
      <c r="N101" s="2433"/>
      <c r="O101" s="2433"/>
      <c r="P101" s="2433"/>
      <c r="Q101" s="2433"/>
      <c r="R101" s="2433"/>
      <c r="S101" s="2433"/>
      <c r="T101" s="2433"/>
      <c r="U101" s="2043"/>
      <c r="V101" s="1961"/>
    </row>
    <row r="102" spans="2:23">
      <c r="G102" s="2064"/>
      <c r="K102" s="2065"/>
      <c r="M102" s="2434" t="s">
        <v>781</v>
      </c>
      <c r="N102" s="2434"/>
      <c r="O102" s="2435"/>
      <c r="P102" s="2436" t="s">
        <v>781</v>
      </c>
      <c r="Q102" s="2434"/>
      <c r="R102" s="2434"/>
      <c r="S102" s="2434"/>
      <c r="T102" s="2435"/>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794</v>
      </c>
      <c r="W106" s="2087"/>
    </row>
    <row r="107" spans="2:23">
      <c r="E107" s="433" t="s">
        <v>795</v>
      </c>
      <c r="K107" s="433" t="s">
        <v>188</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794</v>
      </c>
      <c r="W108" s="2087"/>
    </row>
    <row r="109" spans="2:23">
      <c r="E109" s="433" t="s">
        <v>797</v>
      </c>
      <c r="K109" s="433" t="s">
        <v>188</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5293</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-0.61599999999999999</v>
      </c>
      <c r="Q117" s="2251">
        <f>IF('Validation summary'!$B$3="South Staffs Water",VLOOKUP("SSC_CAM",PCCpayments_FD24,4,0),VLOOKUP($I$38,PCCpayments_FD24,4,0))</f>
        <v>-0.62479999999999947</v>
      </c>
      <c r="R117" s="2251">
        <f>IF('Validation summary'!$B$3="South Staffs Water",VLOOKUP("SSC_CAM",PCCpayments_FD24,5,0),VLOOKUP($I$38,PCCpayments_FD24,5,0))</f>
        <v>-1.0471999999999979</v>
      </c>
      <c r="S117" s="2251">
        <f>IF('Validation summary'!$B$3="South Staffs Water",VLOOKUP("SSC_CAM",PCCpayments_FD24,6,0),VLOOKUP($I$38,PCCpayments_FD24,6,0))</f>
        <v>-0.73039999999999849</v>
      </c>
      <c r="T117" s="2252" t="str">
        <f>IF('Validation summary'!$B$3="South Staffs Water",'3A'!$H$14,"")</f>
        <v/>
      </c>
      <c r="U117" s="2256">
        <f>SUM(P117:T117)</f>
        <v>-3.0183999999999962</v>
      </c>
      <c r="V117" s="433" t="s">
        <v>5297</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827</v>
      </c>
      <c r="F138" s="2144"/>
      <c r="G138" s="2144"/>
      <c r="H138" s="2144"/>
      <c r="I138" s="2144"/>
      <c r="J138" s="2144"/>
      <c r="K138" s="2145" t="s">
        <v>148</v>
      </c>
      <c r="L138" s="2145"/>
      <c r="M138" s="2145"/>
      <c r="N138" s="2145"/>
      <c r="O138" s="2145"/>
      <c r="P138" s="2232" t="e">
        <f>IF(P117&gt;0,P117,IF(P137&gt;0,0,P137))</f>
        <v>#VALUE!</v>
      </c>
      <c r="Q138" s="2233" t="e">
        <f t="shared" ref="Q138:S138" si="20">IF(Q117&gt;0,Q117,IF(Q137&gt;0,0,Q137))</f>
        <v>#VALUE!</v>
      </c>
      <c r="R138" s="2233" t="e">
        <f t="shared" si="20"/>
        <v>#VALUE!</v>
      </c>
      <c r="S138" s="2233" t="e">
        <f t="shared" si="20"/>
        <v>#VALUE!</v>
      </c>
      <c r="T138" s="2234" t="e">
        <f>IF(T137&gt;0,0,T137)</f>
        <v>#VALUE!</v>
      </c>
      <c r="U138" s="2258"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f>(P138 - P117) / P117</f>
        <v>#VALUE!</v>
      </c>
      <c r="Q139" s="2236" t="e">
        <f t="shared" ref="Q139:U139" si="21">(Q138 - Q117) / Q117</f>
        <v>#VALUE!</v>
      </c>
      <c r="R139" s="2236" t="e">
        <f t="shared" si="21"/>
        <v>#VALUE!</v>
      </c>
      <c r="S139" s="2237" t="e">
        <f t="shared" si="21"/>
        <v>#VALUE!</v>
      </c>
      <c r="T139" s="2238" t="e">
        <f t="shared" si="21"/>
        <v>#VALUE!</v>
      </c>
      <c r="U139" s="2259" t="e">
        <f t="shared" si="21"/>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f>IF(ABS(U139)&lt;L142,"Yes","No")</f>
        <v>#VALUE!</v>
      </c>
      <c r="M143" s="433"/>
      <c r="N143" s="433"/>
      <c r="O143" s="433"/>
      <c r="P143" s="2077"/>
      <c r="Q143" s="2076"/>
      <c r="R143" s="2076"/>
      <c r="S143" s="2076"/>
      <c r="T143" s="2212"/>
      <c r="U143" s="2246"/>
      <c r="V143" s="433"/>
    </row>
    <row r="144" spans="4:36">
      <c r="E144" s="433" t="s">
        <v>834</v>
      </c>
      <c r="K144" s="433" t="s">
        <v>718</v>
      </c>
      <c r="L144" s="2128" t="str">
        <f>IF(COUNTIF(P117:S117,"&gt;0")=1,"Yes","No")</f>
        <v>No</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t="str">
        <f t="shared" ref="Q145:S145" si="22">IF(Q117&gt;0,Q117,"")</f>
        <v/>
      </c>
      <c r="R145" s="2246" t="str">
        <f t="shared" si="22"/>
        <v/>
      </c>
      <c r="S145" s="2246" t="str">
        <f t="shared" si="22"/>
        <v/>
      </c>
      <c r="T145" s="2247"/>
      <c r="U145" s="2246"/>
      <c r="V145" s="433"/>
    </row>
    <row r="146" spans="1:36">
      <c r="E146" s="433" t="s">
        <v>836</v>
      </c>
      <c r="K146" s="433" t="s">
        <v>148</v>
      </c>
      <c r="L146" s="2128"/>
      <c r="M146" s="433"/>
      <c r="N146" s="433"/>
      <c r="O146" s="433"/>
      <c r="P146" s="2239" t="e">
        <f>IF($L143="No",P138,IF(P117&gt;0,P117,(P138/(($U138-SUM($P145:$S145)))*($U146-SUM($P145:$S145)))))</f>
        <v>#VALUE!</v>
      </c>
      <c r="Q146" s="2240" t="e">
        <f t="shared" ref="Q146:T146" si="23">IF($L143="No",Q138,IF(Q117&gt;0,Q117,(Q138/(($U138-SUM($P145:$S145)))*($U146-SUM($P145:$S145)))))</f>
        <v>#VALUE!</v>
      </c>
      <c r="R146" s="2240" t="e">
        <f t="shared" si="23"/>
        <v>#VALUE!</v>
      </c>
      <c r="S146" s="2240" t="e">
        <f t="shared" si="23"/>
        <v>#VALUE!</v>
      </c>
      <c r="T146" s="2241" t="e">
        <f t="shared" si="23"/>
        <v>#VALUE!</v>
      </c>
      <c r="U146" s="2260"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2" t="e">
        <f>P146</f>
        <v>#VALUE!</v>
      </c>
      <c r="Q147" s="2243" t="e">
        <f>Q146</f>
        <v>#VALUE!</v>
      </c>
      <c r="R147" s="2243" t="e">
        <f>R146</f>
        <v>#VALUE!</v>
      </c>
      <c r="S147" s="2243" t="e">
        <f>S146</f>
        <v>#VALUE!</v>
      </c>
      <c r="T147" s="2244" t="e">
        <f t="shared" ref="T147" si="24">IF(T146&gt;0,0,T146)</f>
        <v>#VALUE!</v>
      </c>
      <c r="U147" s="2243" t="e">
        <f>SUM(P147:T147)</f>
        <v>#VALUE!</v>
      </c>
      <c r="V147" s="2147" t="s">
        <v>828</v>
      </c>
      <c r="W147" s="2148"/>
      <c r="X147" s="2148"/>
      <c r="Y147" s="2363"/>
      <c r="Z147" s="2363"/>
      <c r="AA147" s="2363"/>
      <c r="AB147" s="2363"/>
      <c r="AC147" s="2363"/>
      <c r="AD147" s="2363"/>
      <c r="AE147" s="2363"/>
      <c r="AF147" s="2363"/>
      <c r="AG147" s="2363"/>
      <c r="AH147" s="2363"/>
      <c r="AI147" s="2363"/>
      <c r="AJ147" s="2363"/>
    </row>
    <row r="148" spans="1:36">
      <c r="E148" s="433" t="s">
        <v>839</v>
      </c>
      <c r="K148" s="433" t="s">
        <v>718</v>
      </c>
      <c r="L148" s="2128" t="e">
        <f>IF(L143="Yes",(SUM(P147:T147)=U147),"N/A")</f>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f>(P147 - P117) / P117</f>
        <v>#VALUE!</v>
      </c>
      <c r="Q149" s="2236" t="e">
        <f t="shared" ref="Q149:U149" si="25">(Q147 - Q117) / Q117</f>
        <v>#VALUE!</v>
      </c>
      <c r="R149" s="2236" t="e">
        <f t="shared" si="25"/>
        <v>#VALUE!</v>
      </c>
      <c r="S149" s="2236" t="e">
        <f t="shared" si="25"/>
        <v>#VALUE!</v>
      </c>
      <c r="T149" s="2238" t="e">
        <f t="shared" si="25"/>
        <v>#VALUE!</v>
      </c>
      <c r="U149" s="2236" t="e">
        <f t="shared" si="25"/>
        <v>#VALUE!</v>
      </c>
      <c r="V149" s="433"/>
    </row>
    <row r="150" spans="1:36">
      <c r="E150" s="433" t="s">
        <v>840</v>
      </c>
      <c r="K150" s="433" t="s">
        <v>718</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M23" sqref="M23"/>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SES Water</v>
      </c>
      <c r="I1" s="193"/>
    </row>
    <row r="2" spans="1:19" s="195" customFormat="1" ht="20.5">
      <c r="F2" s="429" t="s">
        <v>784</v>
      </c>
      <c r="G2" s="429" t="s">
        <v>139</v>
      </c>
      <c r="H2" s="429" t="s">
        <v>845</v>
      </c>
    </row>
    <row r="3" spans="1:19" s="199" customFormat="1" ht="20.5">
      <c r="A3" s="428" t="s">
        <v>589</v>
      </c>
      <c r="B3" s="196"/>
      <c r="C3" s="197"/>
      <c r="D3" s="198"/>
      <c r="E3" s="198"/>
      <c r="F3" s="198"/>
      <c r="G3" s="198"/>
      <c r="H3" s="198"/>
    </row>
    <row r="5" spans="1:19" s="195" customFormat="1" ht="13">
      <c r="B5" s="431"/>
      <c r="C5" s="431"/>
      <c r="D5" s="431"/>
      <c r="E5" s="431" t="s">
        <v>629</v>
      </c>
      <c r="F5" s="432" t="str">
        <f>'Validation summary'!$B$3</f>
        <v>SES Water</v>
      </c>
      <c r="G5" s="433"/>
      <c r="H5" s="431"/>
      <c r="J5" s="200"/>
      <c r="K5" s="200"/>
      <c r="L5" s="200"/>
      <c r="M5" s="200"/>
      <c r="N5" s="200"/>
      <c r="O5" s="200"/>
      <c r="P5" s="200"/>
      <c r="Q5" s="200"/>
      <c r="R5" s="200"/>
      <c r="S5" s="200"/>
    </row>
    <row r="6" spans="1:19" s="195" customFormat="1" ht="13">
      <c r="B6" s="431"/>
      <c r="C6" s="431"/>
      <c r="D6" s="431"/>
      <c r="E6" s="431" t="s">
        <v>846</v>
      </c>
      <c r="F6" s="431" t="str">
        <f>INDEX(Validation!$C$5:$C$22, MATCH($F$5, Validation!$B$5:$B$22, 0))</f>
        <v>SES</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628</v>
      </c>
      <c r="F8" s="432" t="str">
        <f>'Validation summary'!$B$2</f>
        <v>2024-25</v>
      </c>
      <c r="G8" s="433" t="s">
        <v>847</v>
      </c>
      <c r="H8" s="434"/>
      <c r="I8" s="201"/>
    </row>
    <row r="9" spans="1:19" ht="13">
      <c r="B9" s="433"/>
      <c r="C9" s="433"/>
      <c r="D9" s="433"/>
      <c r="E9" s="433"/>
      <c r="F9" s="433"/>
      <c r="G9" s="435"/>
      <c r="H9" s="435"/>
      <c r="I9" s="202"/>
    </row>
    <row r="10" spans="1:19" ht="13">
      <c r="B10" s="433"/>
      <c r="C10" s="433"/>
      <c r="D10" s="433"/>
      <c r="E10" s="433" t="s">
        <v>848</v>
      </c>
      <c r="F10" s="436" t="s">
        <v>785</v>
      </c>
      <c r="G10" s="433" t="s">
        <v>847</v>
      </c>
      <c r="H10" s="435"/>
      <c r="I10" s="202"/>
    </row>
    <row r="11" spans="1:19" ht="13">
      <c r="B11" s="433"/>
      <c r="C11" s="433"/>
      <c r="D11" s="433"/>
      <c r="E11" s="433" t="s">
        <v>849</v>
      </c>
      <c r="F11" s="433" t="str">
        <f>"£m ("&amp;F10&amp;" prices)"</f>
        <v>£m (2017-18 prices)</v>
      </c>
      <c r="G11" s="433" t="s">
        <v>850</v>
      </c>
      <c r="H11" s="435"/>
      <c r="I11" s="202"/>
    </row>
    <row r="12" spans="1:19" ht="13">
      <c r="B12" s="433"/>
      <c r="C12" s="433"/>
      <c r="D12" s="433"/>
      <c r="E12" s="433"/>
      <c r="F12" s="433"/>
      <c r="G12" s="433"/>
      <c r="H12" s="433"/>
    </row>
    <row r="13" spans="1:19" ht="20.5">
      <c r="C13" s="430" t="s">
        <v>851</v>
      </c>
    </row>
    <row r="14" spans="1:19" ht="13">
      <c r="B14" s="433"/>
      <c r="C14" s="433"/>
      <c r="D14" s="433"/>
      <c r="E14" s="433"/>
      <c r="F14" s="433"/>
      <c r="G14" s="433"/>
      <c r="H14" s="433"/>
    </row>
    <row r="15" spans="1:19" ht="13">
      <c r="B15" s="433"/>
      <c r="C15" s="433"/>
      <c r="D15" s="433"/>
      <c r="E15" s="433" t="s">
        <v>852</v>
      </c>
      <c r="F15" s="2204">
        <v>13.138</v>
      </c>
      <c r="G15" s="433" t="str">
        <f>$F$11</f>
        <v>£m (2017-18 prices)</v>
      </c>
      <c r="H15" s="433"/>
    </row>
    <row r="16" spans="1:19" ht="13">
      <c r="B16" s="433"/>
      <c r="C16" s="433"/>
      <c r="D16" s="433"/>
      <c r="E16" s="433" t="s">
        <v>853</v>
      </c>
      <c r="F16" s="2204">
        <v>256.65100000000001</v>
      </c>
      <c r="G16" s="433" t="str">
        <f>$F$11</f>
        <v>£m (2017-18 prices)</v>
      </c>
      <c r="H16" s="433"/>
    </row>
    <row r="17" spans="1:8" ht="13">
      <c r="B17" s="433"/>
      <c r="C17" s="433"/>
      <c r="D17" s="433"/>
      <c r="E17" s="433" t="s">
        <v>854</v>
      </c>
      <c r="F17" s="437">
        <f>SUM(F15:F16)</f>
        <v>269.78899999999999</v>
      </c>
      <c r="G17" s="433" t="str">
        <f>$F$11</f>
        <v>£m (2017-18 prices)</v>
      </c>
      <c r="H17" s="433"/>
    </row>
    <row r="18" spans="1:8" ht="13">
      <c r="B18" s="433"/>
      <c r="C18" s="433"/>
      <c r="D18" s="433"/>
      <c r="E18" s="433"/>
      <c r="F18" s="437"/>
      <c r="G18" s="433"/>
      <c r="H18" s="433"/>
    </row>
    <row r="19" spans="1:8" ht="13">
      <c r="B19" s="433"/>
      <c r="C19" s="433"/>
      <c r="D19" s="433"/>
      <c r="E19" s="433" t="s">
        <v>855</v>
      </c>
      <c r="F19" s="2204"/>
      <c r="G19" s="433" t="str">
        <f>$F$11</f>
        <v>£m (2017-18 prices)</v>
      </c>
      <c r="H19" s="433"/>
    </row>
    <row r="20" spans="1:8" ht="13">
      <c r="B20" s="433"/>
      <c r="C20" s="433"/>
      <c r="D20" s="433"/>
      <c r="E20" s="433" t="s">
        <v>856</v>
      </c>
      <c r="F20" s="2204"/>
      <c r="G20" s="433" t="str">
        <f>$F$11</f>
        <v>£m (2017-18 prices)</v>
      </c>
      <c r="H20" s="433"/>
    </row>
    <row r="21" spans="1:8" ht="13">
      <c r="B21" s="433"/>
      <c r="C21" s="433"/>
      <c r="D21" s="433"/>
      <c r="E21" s="433" t="s">
        <v>857</v>
      </c>
      <c r="F21" s="437">
        <f>SUM(F19:F20)</f>
        <v>0</v>
      </c>
      <c r="G21" s="433" t="str">
        <f>$F$11</f>
        <v>£m (2017-18 prices)</v>
      </c>
      <c r="H21" s="433"/>
    </row>
    <row r="22" spans="1:8" ht="13">
      <c r="B22" s="433"/>
      <c r="C22" s="433"/>
      <c r="D22" s="433"/>
      <c r="E22" s="433"/>
      <c r="F22" s="433"/>
      <c r="G22" s="433"/>
      <c r="H22" s="433"/>
    </row>
    <row r="23" spans="1:8" ht="13">
      <c r="B23" s="433"/>
      <c r="C23" s="433"/>
      <c r="D23" s="438" t="s">
        <v>640</v>
      </c>
      <c r="E23" s="433"/>
      <c r="F23" s="433"/>
      <c r="G23" s="433"/>
      <c r="H23" s="433"/>
    </row>
    <row r="24" spans="1:8" ht="13">
      <c r="B24" s="433"/>
      <c r="C24" s="433"/>
      <c r="D24" s="433"/>
      <c r="E24" s="433" t="s">
        <v>858</v>
      </c>
      <c r="F24" s="439">
        <v>0.4</v>
      </c>
      <c r="G24" s="433" t="s">
        <v>859</v>
      </c>
      <c r="H24" s="433"/>
    </row>
    <row r="25" spans="1:8" ht="13">
      <c r="B25" s="433"/>
      <c r="C25" s="433"/>
      <c r="D25" s="433"/>
      <c r="E25" s="433" t="s">
        <v>860</v>
      </c>
      <c r="F25" s="439">
        <v>0.01</v>
      </c>
      <c r="G25" s="433" t="s">
        <v>859</v>
      </c>
      <c r="H25" s="433"/>
    </row>
    <row r="27" spans="1:8" ht="20.5">
      <c r="C27" s="430" t="s">
        <v>861</v>
      </c>
    </row>
    <row r="28" spans="1:8" ht="13">
      <c r="C28" s="203"/>
      <c r="D28" s="433"/>
      <c r="E28" s="433"/>
      <c r="F28" s="433"/>
      <c r="G28" s="433"/>
      <c r="H28" s="433"/>
    </row>
    <row r="29" spans="1:8" ht="13">
      <c r="A29" s="201"/>
      <c r="D29" s="433"/>
      <c r="E29" s="433" t="s">
        <v>862</v>
      </c>
      <c r="F29" s="439">
        <v>0.5</v>
      </c>
      <c r="G29" s="433" t="s">
        <v>859</v>
      </c>
      <c r="H29" s="433"/>
    </row>
    <row r="30" spans="1:8" ht="13">
      <c r="A30" s="205">
        <f>SUM(F30*100)</f>
        <v>3</v>
      </c>
      <c r="D30" s="433"/>
      <c r="E30" s="433" t="s">
        <v>863</v>
      </c>
      <c r="F30" s="439">
        <v>0.03</v>
      </c>
      <c r="G30" s="433" t="s">
        <v>859</v>
      </c>
      <c r="H30" s="433"/>
    </row>
    <row r="31" spans="1:8" ht="13">
      <c r="D31" s="433"/>
      <c r="E31" s="433"/>
      <c r="F31" s="433"/>
      <c r="G31" s="433"/>
      <c r="H31" s="433"/>
    </row>
    <row r="32" spans="1:8" ht="20.5">
      <c r="A32" s="417" t="s">
        <v>627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I18" activePane="bottomRight" state="frozen"/>
      <selection pane="topRight"/>
      <selection pane="bottomLeft"/>
      <selection pane="bottomRight" activeCell="N28" sqref="N28"/>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454">
        <f>IF('3A'!$F9="","",'3A'!$F9)</f>
        <v>0</v>
      </c>
      <c r="K7" s="455">
        <f>IF('3A'!$F10="","",'3A'!$F10)</f>
        <v>1.8514506564393345E-2</v>
      </c>
      <c r="L7" s="456">
        <f>IF('3A'!$F11="","",'3A'!$F11)</f>
        <v>15.873015873015872</v>
      </c>
      <c r="M7" s="456" t="str">
        <f>IF('3A'!$F12="","",'3A'!$F12)</f>
        <v/>
      </c>
      <c r="N7" s="456">
        <f>IF('3A'!$F13="","",'3A'!$F13)</f>
        <v>0.7382550335570448</v>
      </c>
      <c r="O7" s="456" t="str">
        <f>IF('3A'!$F14="","",'3A'!$F14)</f>
        <v/>
      </c>
      <c r="P7" s="456">
        <f>IF('3A'!$F15="","",'3A'!$F15)</f>
        <v>61.868543535021004</v>
      </c>
      <c r="Q7" s="457">
        <f>IF('3A'!$F16="","",'3A'!$F16)</f>
        <v>4.0073679901760126</v>
      </c>
      <c r="R7" s="458">
        <f>IF(ISBLANK('3A'!$F19),"",'3A'!$F19)</f>
        <v>0.57999999999999996</v>
      </c>
      <c r="S7" s="459">
        <f>IF(ISBLANK('3A'!$F20),"",'3A'!$F20)</f>
        <v>25379</v>
      </c>
      <c r="T7" s="459">
        <f>IF(ISBLANK('3A'!$F21),"",'3A'!$F21)</f>
        <v>1.99</v>
      </c>
      <c r="U7" s="458">
        <f>IF(ISBLANK('3A'!$F22),"",'3A'!$F22)</f>
        <v>90.68</v>
      </c>
      <c r="V7" s="459">
        <f>IF(ISBLANK('3A'!$F23),"",'3A'!$F23)</f>
        <v>38</v>
      </c>
      <c r="W7" s="459">
        <f>IF(ISBLANK('3A'!$F24),"",'3A'!$F24)</f>
        <v>17</v>
      </c>
      <c r="X7" s="459">
        <f>IF(ISBLANK('3A'!$F25),"",'3A'!$F25)</f>
        <v>10.4</v>
      </c>
      <c r="Y7" s="459">
        <f>IF(ISBLANK('3A'!$F26),"",'3A'!$F26)</f>
        <v>91</v>
      </c>
      <c r="Z7" s="459" t="str">
        <f>IF(ISBLANK('3A'!$F27),"",'3A'!$F27)</f>
        <v/>
      </c>
      <c r="AA7" s="459" t="str">
        <f>IF(ISBLANK('3A'!$F28),"",'3A'!$F28)</f>
        <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872</v>
      </c>
      <c r="F8" s="431"/>
      <c r="G8" s="431" t="s">
        <v>873</v>
      </c>
      <c r="H8" s="431"/>
      <c r="I8" s="431"/>
      <c r="J8" s="466"/>
      <c r="K8" s="466"/>
      <c r="L8" s="1321">
        <f>IF(OR('3A'!$R$1="NES",'3A'!$R$1="SSC"),'3F.1'!$G$18,'3F'!$G$18)</f>
        <v>25.2</v>
      </c>
      <c r="M8" s="1321" t="str">
        <f>IF(OR('3A'!$R$1="NES",'3A'!$R$1="SSC"),'3F.2'!$G$18,"")</f>
        <v/>
      </c>
      <c r="N8" s="1321">
        <f>IF('3A'!$R$1="SSC",'3F.1'!$G$19,'3F'!$G$19)</f>
        <v>149</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478" t="str">
        <f>'3A'!$C$9</f>
        <v>PR19SES_A.4</v>
      </c>
      <c r="K16" s="478" t="str">
        <f>'3A'!$C$10</f>
        <v>PR19SES_A.1</v>
      </c>
      <c r="L16" s="478" t="str">
        <f>'3A'!$C$11</f>
        <v>PR19SES_C.4</v>
      </c>
      <c r="M16" s="478" t="str">
        <f>'3A'!$C$12</f>
        <v/>
      </c>
      <c r="N16" s="478" t="str">
        <f>'3A'!$C$13</f>
        <v>PR19SES_E.1</v>
      </c>
      <c r="O16" s="478" t="str">
        <f>'3A'!$C$14</f>
        <v/>
      </c>
      <c r="P16" s="478" t="str">
        <f>'3A'!$C$15</f>
        <v>PR19SES_A.2</v>
      </c>
      <c r="Q16" s="479" t="str">
        <f>'3A'!$C$16</f>
        <v>PR19SES_C.3</v>
      </c>
      <c r="R16" s="478" t="str">
        <f>'3A'!$C$19</f>
        <v>PR19SES_A.3</v>
      </c>
      <c r="S16" s="478" t="str">
        <f>'3A'!$C$20</f>
        <v>PR19SES_B.1</v>
      </c>
      <c r="T16" s="478" t="str">
        <f>'3A'!$C$21</f>
        <v>PR19SES_B.4</v>
      </c>
      <c r="U16" s="478" t="str">
        <f>'3A'!$C$22</f>
        <v>PR19SES_D.1</v>
      </c>
      <c r="V16" s="478" t="str">
        <f>'3A'!$C$23</f>
        <v>PR19SES_E.2</v>
      </c>
      <c r="W16" s="478" t="str">
        <f>'3A'!$C$24</f>
        <v>PR19SES_E.6</v>
      </c>
      <c r="X16" s="478" t="str">
        <f>'3A'!$C$25</f>
        <v>PR19SES_A.5</v>
      </c>
      <c r="Y16" s="478" t="str">
        <f>'3A'!$C$26</f>
        <v>PR19SES_C.2</v>
      </c>
      <c r="Z16" s="478" t="str">
        <f>'3A'!$C$27</f>
        <v/>
      </c>
      <c r="AA16" s="478" t="str">
        <f>'3A'!$C$28</f>
        <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9">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Customer concerns about their water (taste, odour and discolouration contacts)</v>
      </c>
      <c r="S17" s="481" t="str">
        <f>'3A'!$B$20</f>
        <v>Supporting customers in financial hardship</v>
      </c>
      <c r="T17" s="481" t="str">
        <f>'3A'!$B$21</f>
        <v>Void properties</v>
      </c>
      <c r="U17" s="481" t="str">
        <f>'3A'!$B$22</f>
        <v>First contact resolution</v>
      </c>
      <c r="V17" s="481" t="str">
        <f>'3A'!$B$23</f>
        <v>Greenhouse gas emissions</v>
      </c>
      <c r="W17" s="481" t="str">
        <f>'3A'!$B$24</f>
        <v>River based improvement - delivery of WINEP</v>
      </c>
      <c r="X17" s="481" t="str">
        <f>'3A'!$B$25</f>
        <v>Water Softening</v>
      </c>
      <c r="Y17" s="481" t="str">
        <f>'3A'!$B$26</f>
        <v>Risk of supply failures</v>
      </c>
      <c r="Z17" s="481" t="str">
        <f>'3A'!$B$27</f>
        <v/>
      </c>
      <c r="AA17" s="481" t="str">
        <f>'3A'!$B$28</f>
        <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881</v>
      </c>
      <c r="F23" s="431"/>
      <c r="G23" s="431" t="str">
        <f>InpCompany!$F$11</f>
        <v>£m (2017-18 prices)</v>
      </c>
      <c r="H23" s="431"/>
      <c r="I23" s="431"/>
      <c r="J23" s="2279"/>
      <c r="K23" s="2279"/>
      <c r="L23" s="2279">
        <v>0</v>
      </c>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884</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v>
      </c>
      <c r="U31" s="486" t="str">
        <f t="shared" si="1"/>
        <v>%</v>
      </c>
      <c r="V31" s="486" t="str">
        <f t="shared" si="1"/>
        <v>nr</v>
      </c>
      <c r="W31" s="486" t="str">
        <f t="shared" si="1"/>
        <v>nr</v>
      </c>
      <c r="X31" s="486" t="str">
        <f t="shared" si="1"/>
        <v>nr</v>
      </c>
      <c r="Y31" s="486" t="str">
        <f t="shared" si="1"/>
        <v>%</v>
      </c>
      <c r="Z31" s="486" t="str">
        <f t="shared" si="1"/>
        <v/>
      </c>
      <c r="AA31" s="486" t="str">
        <f t="shared" si="1"/>
        <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
      </c>
      <c r="AA33" s="491" t="str">
        <f t="shared" si="4"/>
        <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
      </c>
      <c r="AA34" s="491" t="str">
        <f t="shared" si="7"/>
        <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Up</v>
      </c>
      <c r="T38" s="491" t="str">
        <f t="shared" si="10"/>
        <v>Down</v>
      </c>
      <c r="U38" s="491" t="str">
        <f t="shared" si="10"/>
        <v>Up</v>
      </c>
      <c r="V38" s="491" t="str">
        <f t="shared" si="10"/>
        <v>Down</v>
      </c>
      <c r="W38" s="491" t="str">
        <f t="shared" si="10"/>
        <v>Up</v>
      </c>
      <c r="X38" s="491" t="str">
        <f t="shared" si="10"/>
        <v>Down</v>
      </c>
      <c r="Y38" s="491" t="str">
        <f t="shared" si="10"/>
        <v>Up</v>
      </c>
      <c r="Z38" s="491" t="str">
        <f t="shared" si="10"/>
        <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2</v>
      </c>
      <c r="U40" s="491">
        <f t="shared" si="13"/>
        <v>1</v>
      </c>
      <c r="V40" s="491">
        <f t="shared" si="13"/>
        <v>0</v>
      </c>
      <c r="W40" s="491">
        <f t="shared" si="13"/>
        <v>0</v>
      </c>
      <c r="X40" s="491">
        <f t="shared" si="13"/>
        <v>1</v>
      </c>
      <c r="Y40" s="491">
        <f t="shared" si="13"/>
        <v>0</v>
      </c>
      <c r="Z40" s="491" t="str">
        <f t="shared" si="13"/>
        <v/>
      </c>
      <c r="AA40" s="491" t="str">
        <f t="shared" si="13"/>
        <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7.291666666666667E-4</v>
      </c>
      <c r="L43" s="1215">
        <f>IF(L$16="","",IF(INDEX(App1bdata,MATCH(L$16,App1bIDnrs,0),VLOOKUP(InpCompany!$F$8,ProfileInps,2,0))="","",INDEX(App1bdata,MATCH(L$16,App1bIDnrs,0),VLOOKUP(InpCompany!$F$8,ProfileInps,2,0))))</f>
        <v>28.1</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f>IF(T$16="","",IF(INDEX(App1data,MATCH(T$16,App1IDnrs,0),VLOOKUP(InpCompany!$F$8,ProfileInps,2,0))="","",INDEX(App1data,MATCH(T$16,App1IDnrs,0),VLOOKUP(InpCompany!$F$8,ProfileInps,2,0))))</f>
        <v>1.7</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12.4</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6.6</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59</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0.5</v>
      </c>
      <c r="S45" s="494">
        <f>IF(S$16="","",IF(INDEX(App1data,MATCH(S$16,App1IDnrs,0),VLOOKUP(InpCompany!$F$8,ProfileInps,4,0))="","",INDEX(App1data,MATCH(S$16,App1IDnrs,0),VLOOKUP(InpCompany!$F$8,ProfileInps,4,0))))</f>
        <v>25000</v>
      </c>
      <c r="T45" s="494">
        <f>IF(T$16="","",IF(INDEX(App1data,MATCH(T$16,App1IDnrs,0),VLOOKUP(InpCompany!$F$8,ProfileInps,4,0))="","",INDEX(App1data,MATCH(T$16,App1IDnrs,0),VLOOKUP(InpCompany!$F$8,ProfileInps,4,0))))</f>
        <v>2.2000000000000002</v>
      </c>
      <c r="U45" s="494">
        <f>IF(U$16="","",IF(INDEX(App1data,MATCH(U$16,App1IDnrs,0),VLOOKUP(InpCompany!$F$8,ProfileInps,4,0))="","",INDEX(App1data,MATCH(U$16,App1IDnrs,0),VLOOKUP(InpCompany!$F$8,ProfileInps,4,0))))</f>
        <v>90</v>
      </c>
      <c r="V45" s="494">
        <f>IF(V$16="","",IF(INDEX(App1data,MATCH(V$16,App1IDnrs,0),VLOOKUP(InpCompany!$F$8,ProfileInps,4,0))="","",INDEX(App1data,MATCH(V$16,App1IDnrs,0),VLOOKUP(InpCompany!$F$8,ProfileInps,4,0))))</f>
        <v>55</v>
      </c>
      <c r="W45" s="494">
        <f>IF(W$16="","",IF(INDEX(App1data,MATCH(W$16,App1IDnrs,0),VLOOKUP(InpCompany!$F$8,ProfileInps,4,0))="","",INDEX(App1data,MATCH(W$16,App1IDnrs,0),VLOOKUP(InpCompany!$F$8,ProfileInps,4,0))))</f>
        <v>24</v>
      </c>
      <c r="X45" s="494">
        <f>IF(X$16="","",IF(INDEX(App1data,MATCH(X$16,App1IDnrs,0),VLOOKUP(InpCompany!$F$8,ProfileInps,4,0))="","",INDEX(App1data,MATCH(X$16,App1IDnrs,0),VLOOKUP(InpCompany!$F$8,ProfileInps,4,0))))</f>
        <v>0</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1.1793981481481482E-2</v>
      </c>
      <c r="L47" s="1215">
        <f>IF(L$16="","",IF(INDEX(App1bdata,MATCH(L$16,App1bIDnrs,0),VLOOKUP(InpCompany!$F$8,ProfileInps,6,0))="","",INDEX(App1bdata,MATCH(L$16,App1bIDnrs,0),VLOOKUP(InpCompany!$F$8,ProfileInps,6,0))))</f>
        <v>-50</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-8.9</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f>IF(T$16="","",IF(INDEX(App1data,MATCH(T$16,App1IDnrs,0),VLOOKUP(InpCompany!$F$8,ProfileInps,6,0))="","",INDEX(App1data,MATCH(T$16,App1IDnrs,0),VLOOKUP(InpCompany!$F$8,ProfileInps,6,0))))</f>
        <v>3.36</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0.121</v>
      </c>
      <c r="L49" s="497">
        <f t="shared" si="15"/>
        <v>0.34599999999999997</v>
      </c>
      <c r="M49" s="497" t="str">
        <f t="shared" si="15"/>
        <v/>
      </c>
      <c r="N49" s="497" t="str">
        <f t="shared" si="15"/>
        <v/>
      </c>
      <c r="O49" s="497" t="str">
        <f t="shared" si="15"/>
        <v/>
      </c>
      <c r="P49" s="497">
        <f t="shared" si="15"/>
        <v>0</v>
      </c>
      <c r="Q49" s="498" t="str">
        <f t="shared" si="15"/>
        <v/>
      </c>
      <c r="R49" s="497" t="str">
        <f t="shared" ref="R49:AK49" si="16">IF(R$16="","",IF(INDEX(App1data,MATCH(R$16,App1IDnrs,0),101)="","",INDEX(App1data,MATCH(R$16,App1IDnrs,0),101)))</f>
        <v/>
      </c>
      <c r="S49" s="497" t="str">
        <f t="shared" si="16"/>
        <v/>
      </c>
      <c r="T49" s="497">
        <f t="shared" si="16"/>
        <v>0.24099999999999999</v>
      </c>
      <c r="U49" s="497" t="str">
        <f t="shared" si="16"/>
        <v/>
      </c>
      <c r="V49" s="497" t="str">
        <f t="shared" si="16"/>
        <v/>
      </c>
      <c r="W49" s="497" t="str">
        <f t="shared" si="16"/>
        <v/>
      </c>
      <c r="X49" s="497" t="str">
        <f t="shared" si="16"/>
        <v/>
      </c>
      <c r="Y49" s="497" t="str">
        <f t="shared" si="16"/>
        <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-0.17499999999999999</v>
      </c>
      <c r="K50" s="497">
        <f t="shared" si="18"/>
        <v>-0.121</v>
      </c>
      <c r="L50" s="497">
        <f t="shared" si="18"/>
        <v>-0.41499999999999998</v>
      </c>
      <c r="M50" s="497" t="str">
        <f t="shared" si="18"/>
        <v/>
      </c>
      <c r="N50" s="497">
        <f t="shared" si="18"/>
        <v>-8.7999999999999995E-2</v>
      </c>
      <c r="O50" s="497" t="str">
        <f t="shared" si="18"/>
        <v/>
      </c>
      <c r="P50" s="497">
        <f t="shared" si="18"/>
        <v>-2.1999999999999999E-2</v>
      </c>
      <c r="Q50" s="498">
        <f t="shared" si="18"/>
        <v>-0.17599999999999999</v>
      </c>
      <c r="R50" s="497">
        <f t="shared" ref="R50:AK50" si="19">IF(R$16="","",IF(INDEX(App1data,MATCH(R$16,App1IDnrs,0),97)="","",INDEX(App1data,MATCH(R$16,App1IDnrs,0),97)))</f>
        <v>-0.79600000000000004</v>
      </c>
      <c r="S50" s="497">
        <f t="shared" si="19"/>
        <v>-9.0999999999999993E-6</v>
      </c>
      <c r="T50" s="497">
        <f t="shared" si="19"/>
        <v>-0.24099999999999999</v>
      </c>
      <c r="U50" s="497">
        <f t="shared" si="19"/>
        <v>-3.261E-3</v>
      </c>
      <c r="V50" s="497">
        <f t="shared" si="19"/>
        <v>-1.578E-3</v>
      </c>
      <c r="W50" s="497">
        <f t="shared" si="19"/>
        <v>-4.2500000000000003E-3</v>
      </c>
      <c r="X50" s="497">
        <f t="shared" si="19"/>
        <v>-2.8199999999999999E-2</v>
      </c>
      <c r="Y50" s="497">
        <f t="shared" si="19"/>
        <v>-6.4000000000000003E-3</v>
      </c>
      <c r="Z50" s="497" t="str">
        <f t="shared" si="19"/>
        <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v>
      </c>
      <c r="L56" s="1214" t="str">
        <f>IF(L$16="","",IF(INDEX(App1bdata,MATCH(L$16,App1bIDnrs,0),VLOOKUP(InpCompany!$F$8,ProfileInps,7,0))="","",INDEX(App1bdata,MATCH(L$16,App1bIDnrs,0),VLOOKUP(InpCompany!$F$8,ProfileInps,7,0))))</f>
        <v>*</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f>IF(K$16="","",IF(INDEX(App1bdata,MATCH(K$16,App1bIDnrs,0),VLOOKUP(InpCompany!$F$8,ProfileInps,8,0))="","",INDEX(App1bdata,MATCH(K$16,App1bIDnrs,0),VLOOKUP(InpCompany!$F$8,ProfileInps,8,0))))</f>
        <v>1.3391203703703704E-2</v>
      </c>
      <c r="L57" s="1214">
        <f>IF(L$16="","",IF(INDEX(App1bdata,MATCH(L$16,App1bIDnrs,0),VLOOKUP(InpCompany!$F$8,ProfileInps,8,0))="","",INDEX(App1bdata,MATCH(L$16,App1bIDnrs,0),VLOOKUP(InpCompany!$F$8,ProfileInps,8,0))))</f>
        <v>-70.7</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f t="shared" si="21"/>
        <v>0.36199999999999999</v>
      </c>
      <c r="L59" s="503">
        <f t="shared" si="21"/>
        <v>0.46300000000000002</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f t="shared" si="24"/>
        <v>-0.39</v>
      </c>
      <c r="L60" s="503">
        <f t="shared" si="24"/>
        <v>-0.46300000000000002</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0</v>
      </c>
      <c r="U68" s="511">
        <f t="shared" si="28"/>
        <v>0</v>
      </c>
      <c r="V68" s="511">
        <f t="shared" si="28"/>
        <v>0</v>
      </c>
      <c r="W68" s="511">
        <f t="shared" si="28"/>
        <v>0.34</v>
      </c>
      <c r="X68" s="511">
        <f t="shared" si="28"/>
        <v>0</v>
      </c>
      <c r="Y68" s="511">
        <f t="shared" si="28"/>
        <v>0</v>
      </c>
      <c r="Z68" s="511" t="str">
        <f t="shared" si="28"/>
        <v/>
      </c>
      <c r="AA68" s="511" t="str">
        <f t="shared" si="28"/>
        <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0</v>
      </c>
      <c r="T69" s="511">
        <f t="shared" si="31"/>
        <v>0</v>
      </c>
      <c r="U69" s="511">
        <f t="shared" si="31"/>
        <v>0</v>
      </c>
      <c r="V69" s="511">
        <f t="shared" si="31"/>
        <v>1</v>
      </c>
      <c r="W69" s="511">
        <f t="shared" si="31"/>
        <v>0.66</v>
      </c>
      <c r="X69" s="511">
        <f t="shared" si="31"/>
        <v>1</v>
      </c>
      <c r="Y69" s="511">
        <f t="shared" si="31"/>
        <v>1</v>
      </c>
      <c r="Z69" s="511" t="str">
        <f t="shared" si="31"/>
        <v/>
      </c>
      <c r="AA69" s="511" t="str">
        <f t="shared" si="31"/>
        <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t="str">
        <f t="shared" si="34"/>
        <v/>
      </c>
      <c r="AA70" s="511" t="str">
        <f t="shared" si="34"/>
        <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t="str">
        <f t="shared" si="37"/>
        <v/>
      </c>
      <c r="AA71" s="511" t="str">
        <f t="shared" si="37"/>
        <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1</v>
      </c>
      <c r="T72" s="511">
        <f t="shared" si="40"/>
        <v>1</v>
      </c>
      <c r="U72" s="511">
        <f t="shared" si="40"/>
        <v>1</v>
      </c>
      <c r="V72" s="511">
        <f t="shared" si="40"/>
        <v>0</v>
      </c>
      <c r="W72" s="511">
        <f t="shared" si="40"/>
        <v>0</v>
      </c>
      <c r="X72" s="511">
        <f t="shared" si="40"/>
        <v>0</v>
      </c>
      <c r="Y72" s="511">
        <f t="shared" si="40"/>
        <v>0</v>
      </c>
      <c r="Z72" s="511" t="str">
        <f t="shared" si="40"/>
        <v/>
      </c>
      <c r="AA72" s="511" t="str">
        <f t="shared" si="40"/>
        <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t="str">
        <f t="shared" si="43"/>
        <v/>
      </c>
      <c r="AA73" s="511" t="str">
        <f t="shared" si="43"/>
        <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t="str">
        <f t="shared" si="46"/>
        <v/>
      </c>
      <c r="AA74" s="511" t="str">
        <f t="shared" si="46"/>
        <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PR19SES_A.4</v>
      </c>
      <c r="K16" s="522" t="str">
        <f>IF(Company_PC_inputs!K16="","",Company_PC_inputs!K16)</f>
        <v>PR19SES_A.1</v>
      </c>
      <c r="L16" s="522" t="str">
        <f>IF(Company_PC_inputs!L16="","",Company_PC_inputs!L16)</f>
        <v>PR19SES_C.4</v>
      </c>
      <c r="M16" s="522" t="str">
        <f>IF(Company_PC_inputs!M16="","",Company_PC_inputs!M16)</f>
        <v/>
      </c>
      <c r="N16" s="522" t="str">
        <f>IF(Company_PC_inputs!N16="","",Company_PC_inputs!N16)</f>
        <v>PR19SES_E.1</v>
      </c>
      <c r="O16" s="522" t="str">
        <f>IF(Company_PC_inputs!O16="","",Company_PC_inputs!O16)</f>
        <v/>
      </c>
      <c r="P16" s="522" t="str">
        <f>IF(Company_PC_inputs!P16="","",Company_PC_inputs!P16)</f>
        <v>PR19SES_A.2</v>
      </c>
      <c r="Q16" s="523" t="str">
        <f>IF(Company_PC_inputs!Q16="","",Company_PC_inputs!Q16)</f>
        <v>PR19SES_C.3</v>
      </c>
      <c r="R16" s="522" t="str">
        <f>IF(Company_PC_inputs!R16="","",Company_PC_inputs!R16)</f>
        <v>PR19SES_A.3</v>
      </c>
      <c r="S16" s="522" t="str">
        <f>IF(Company_PC_inputs!S16="","",Company_PC_inputs!S16)</f>
        <v>PR19SES_B.1</v>
      </c>
      <c r="T16" s="522" t="str">
        <f>IF(Company_PC_inputs!T16="","",Company_PC_inputs!T16)</f>
        <v>PR19SES_B.4</v>
      </c>
      <c r="U16" s="522" t="str">
        <f>IF(Company_PC_inputs!U16="","",Company_PC_inputs!U16)</f>
        <v>PR19SES_D.1</v>
      </c>
      <c r="V16" s="522" t="str">
        <f>IF(Company_PC_inputs!V16="","",Company_PC_inputs!V16)</f>
        <v>PR19SES_E.2</v>
      </c>
      <c r="W16" s="522" t="str">
        <f>IF(Company_PC_inputs!W16="","",Company_PC_inputs!W16)</f>
        <v>PR19SES_E.6</v>
      </c>
      <c r="X16" s="522" t="str">
        <f>IF(Company_PC_inputs!X16="","",Company_PC_inputs!X16)</f>
        <v>PR19SES_A.5</v>
      </c>
      <c r="Y16" s="522" t="str">
        <f>IF(Company_PC_inputs!Y16="","",Company_PC_inputs!Y16)</f>
        <v>PR19SES_C.2</v>
      </c>
      <c r="Z16" s="522" t="str">
        <f>IF(Company_PC_inputs!Z16="","",Company_PC_inputs!Z16)</f>
        <v/>
      </c>
      <c r="AA16" s="522" t="str">
        <f>IF(Company_PC_inputs!AA16="","",Company_PC_inputs!AA16)</f>
        <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9">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Customer concerns about their water (taste, odour and discolouration contacts)</v>
      </c>
      <c r="S17" s="481" t="str">
        <f>IF(Company_PC_inputs!S17="","",Company_PC_inputs!S17)</f>
        <v>Supporting customers in financial hardship</v>
      </c>
      <c r="T17" s="481" t="str">
        <f>IF(Company_PC_inputs!T17="","",Company_PC_inputs!T17)</f>
        <v>Void properties</v>
      </c>
      <c r="U17" s="481" t="str">
        <f>IF(Company_PC_inputs!U17="","",Company_PC_inputs!U17)</f>
        <v>First contact resolution</v>
      </c>
      <c r="V17" s="481" t="str">
        <f>IF(Company_PC_inputs!V17="","",Company_PC_inputs!V17)</f>
        <v>Greenhouse gas emissions</v>
      </c>
      <c r="W17" s="481" t="str">
        <f>IF(Company_PC_inputs!W17="","",Company_PC_inputs!W17)</f>
        <v>River based improvement - delivery of WINEP</v>
      </c>
      <c r="X17" s="481" t="str">
        <f>IF(Company_PC_inputs!X17="","",Company_PC_inputs!X17)</f>
        <v>Water Softening</v>
      </c>
      <c r="Y17" s="481" t="str">
        <f>IF(Company_PC_inputs!Y17="","",Company_PC_inputs!Y17)</f>
        <v>Risk of supply failures</v>
      </c>
      <c r="Z17" s="481" t="str">
        <f>IF(Company_PC_inputs!Z17="","",Company_PC_inputs!Z17)</f>
        <v/>
      </c>
      <c r="AA17" s="481" t="str">
        <f>IF(Company_PC_inputs!AA17="","",Company_PC_inputs!AA17)</f>
        <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8"/>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5">
      <c r="A9" s="1951"/>
      <c r="B9" s="1972" t="s">
        <v>5249</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5303</v>
      </c>
      <c r="K35" s="433" t="s">
        <v>970</v>
      </c>
      <c r="T35" s="433" t="s">
        <v>971</v>
      </c>
    </row>
    <row r="36" spans="2:25" ht="15" customHeight="1">
      <c r="B36" s="433" t="s">
        <v>5305</v>
      </c>
      <c r="K36" s="433" t="s">
        <v>972</v>
      </c>
    </row>
    <row r="37" spans="2:25" ht="15" customHeight="1">
      <c r="B37" s="433" t="s">
        <v>5304</v>
      </c>
      <c r="K37" s="433" t="s">
        <v>973</v>
      </c>
    </row>
    <row r="38" spans="2:25" ht="15" customHeight="1">
      <c r="B38" s="433" t="s">
        <v>5302</v>
      </c>
      <c r="K38" s="433" t="s">
        <v>974</v>
      </c>
    </row>
    <row r="39" spans="2:25" ht="15" customHeight="1">
      <c r="B39" s="433" t="s">
        <v>5306</v>
      </c>
      <c r="K39" s="433" t="s">
        <v>975</v>
      </c>
    </row>
    <row r="40" spans="2:25" ht="15" customHeight="1">
      <c r="K40" s="433" t="s">
        <v>976</v>
      </c>
    </row>
    <row r="41" spans="2:25" ht="15" customHeight="1">
      <c r="K41" s="433" t="s">
        <v>5298</v>
      </c>
    </row>
    <row r="42" spans="2:25" ht="15" customHeight="1">
      <c r="K42" s="433" t="s">
        <v>5299</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5">
      <c r="A49" s="1951"/>
      <c r="B49" s="1972" t="s">
        <v>5250</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5251</v>
      </c>
    </row>
    <row r="54" spans="1:25" ht="15" customHeight="1">
      <c r="B54" s="1356" t="s">
        <v>980</v>
      </c>
    </row>
    <row r="55" spans="1:25" ht="15" customHeight="1">
      <c r="B55" s="1356" t="s">
        <v>981</v>
      </c>
    </row>
    <row r="56" spans="1:25" ht="15" customHeight="1">
      <c r="B56" s="1356" t="s">
        <v>5307</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5">
      <c r="A2" s="1356"/>
      <c r="B2" s="1356"/>
      <c r="C2" s="1356"/>
      <c r="D2" s="1356"/>
      <c r="E2" s="2042"/>
      <c r="F2" s="2042"/>
      <c r="G2" s="2042"/>
      <c r="H2" s="2042"/>
      <c r="I2" s="2042"/>
      <c r="J2" s="2042"/>
      <c r="K2" s="1356"/>
      <c r="L2" s="1356"/>
    </row>
    <row r="3" spans="1:17" ht="14.5">
      <c r="A3" s="1356"/>
      <c r="B3" s="1356"/>
      <c r="C3" s="1356" t="s">
        <v>5294</v>
      </c>
      <c r="D3" s="1356"/>
      <c r="E3" s="2042"/>
      <c r="F3" s="2042"/>
      <c r="G3" s="2042"/>
      <c r="H3" s="2042"/>
      <c r="I3" s="2042"/>
      <c r="J3" s="2042"/>
      <c r="K3" s="1356"/>
      <c r="L3" s="1356"/>
    </row>
    <row r="4" spans="1:17" ht="14.5">
      <c r="A4" s="1356"/>
      <c r="B4" s="1356"/>
      <c r="C4" s="1356"/>
      <c r="D4" s="1356"/>
      <c r="E4" s="2042"/>
      <c r="F4" s="2042"/>
      <c r="G4" s="2042"/>
      <c r="H4" s="2042"/>
      <c r="I4" s="2042"/>
      <c r="J4" s="2042"/>
      <c r="K4" s="1356"/>
      <c r="L4" s="1356"/>
    </row>
    <row r="5" spans="1:17" ht="14.5">
      <c r="A5" s="1356"/>
      <c r="B5" s="1356"/>
      <c r="C5" s="1356"/>
      <c r="D5" s="1356"/>
      <c r="E5" s="2042"/>
      <c r="F5" s="2433" t="s">
        <v>5295</v>
      </c>
      <c r="G5" s="2433"/>
      <c r="H5" s="2433"/>
      <c r="I5" s="2433"/>
      <c r="J5" s="2269" t="s">
        <v>5296</v>
      </c>
      <c r="K5" s="1356"/>
      <c r="L5" s="1356"/>
    </row>
    <row r="6" spans="1:17" ht="14.5">
      <c r="A6" s="1356"/>
      <c r="B6" s="1356"/>
      <c r="C6" s="1356" t="s">
        <v>916</v>
      </c>
      <c r="D6" s="1356"/>
      <c r="E6" s="2043" t="s">
        <v>783</v>
      </c>
      <c r="F6" s="2219" t="s">
        <v>660</v>
      </c>
      <c r="G6" s="2219" t="s">
        <v>669</v>
      </c>
      <c r="H6" s="2219" t="s">
        <v>674</v>
      </c>
      <c r="I6" s="2219" t="s">
        <v>651</v>
      </c>
      <c r="J6" s="2269" t="s">
        <v>92</v>
      </c>
      <c r="K6" s="2219" t="s">
        <v>782</v>
      </c>
      <c r="L6" s="1356"/>
    </row>
    <row r="7" spans="1:17" ht="14.5">
      <c r="A7" s="1356"/>
      <c r="B7" s="1356"/>
      <c r="C7" s="1356"/>
      <c r="D7" s="1356"/>
      <c r="E7" s="2042"/>
      <c r="F7" s="2042"/>
      <c r="G7" s="2042"/>
      <c r="H7" s="2042"/>
      <c r="I7" s="2042"/>
      <c r="J7" s="2270"/>
      <c r="K7" s="1356"/>
      <c r="L7" s="1356"/>
    </row>
    <row r="8" spans="1:17" ht="14.5">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5">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5">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5">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5">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5">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5">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5">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5">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5">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5">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5">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5">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5">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5">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5">
      <c r="A23" s="1356"/>
      <c r="B23" s="1356"/>
      <c r="C23" s="1356" t="s">
        <v>807</v>
      </c>
      <c r="D23" s="2042" t="s">
        <v>5263</v>
      </c>
      <c r="E23" s="2042" t="s">
        <v>148</v>
      </c>
      <c r="F23" s="2220">
        <v>-1.4027000000000021</v>
      </c>
      <c r="G23" s="2220">
        <v>-2.3997999999999982</v>
      </c>
      <c r="H23" s="2220">
        <v>-3.3800000000000003</v>
      </c>
      <c r="I23" s="2220">
        <v>-2.6026000000000011</v>
      </c>
      <c r="J23" s="2271">
        <v>-1.9265999999999988</v>
      </c>
      <c r="K23" s="2221">
        <f t="shared" si="0"/>
        <v>-11.7117</v>
      </c>
      <c r="L23" s="1356"/>
    </row>
    <row r="24" spans="1:17" ht="14.5">
      <c r="A24" s="1356"/>
      <c r="B24" s="1356"/>
      <c r="C24" s="1356" t="s">
        <v>807</v>
      </c>
      <c r="D24" s="2042" t="s">
        <v>5264</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5">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5">
      <c r="A26" s="1356"/>
      <c r="B26" s="1356"/>
      <c r="C26" s="1356"/>
      <c r="D26" s="2042" t="s">
        <v>5265</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5">
      <c r="C28" s="1356" t="s">
        <v>5300</v>
      </c>
    </row>
    <row r="29" spans="1:17"/>
    <row r="30" spans="1:17" ht="20.5">
      <c r="A30" s="514" t="s">
        <v>627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18"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57">
        <v>7</v>
      </c>
      <c r="J3" s="2458"/>
      <c r="K3" s="2458"/>
      <c r="L3" s="2458"/>
      <c r="M3" s="2458"/>
      <c r="N3" s="2458"/>
      <c r="O3" s="2458"/>
      <c r="P3" s="2458"/>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55">
        <v>31</v>
      </c>
      <c r="AH3" s="2456">
        <v>34</v>
      </c>
      <c r="AI3" s="2456">
        <v>35</v>
      </c>
      <c r="AJ3" s="2456">
        <v>36</v>
      </c>
      <c r="AK3" s="2456">
        <v>37</v>
      </c>
      <c r="AL3" s="2456">
        <v>38</v>
      </c>
      <c r="AM3" s="2456">
        <v>39</v>
      </c>
      <c r="AN3" s="2456">
        <v>40</v>
      </c>
      <c r="AO3" s="2456">
        <v>41</v>
      </c>
      <c r="AP3" s="2459">
        <v>42</v>
      </c>
      <c r="AQ3" s="2455">
        <v>41</v>
      </c>
      <c r="AR3" s="2456">
        <v>44</v>
      </c>
      <c r="AS3" s="2456">
        <v>45</v>
      </c>
      <c r="AT3" s="2456">
        <v>46</v>
      </c>
      <c r="AU3" s="2459">
        <v>47</v>
      </c>
      <c r="AV3" s="2455">
        <v>46</v>
      </c>
      <c r="AW3" s="2456">
        <v>49</v>
      </c>
      <c r="AX3" s="2456">
        <v>50</v>
      </c>
      <c r="AY3" s="2456">
        <v>51</v>
      </c>
      <c r="AZ3" s="2456">
        <v>52</v>
      </c>
      <c r="BA3" s="2456">
        <v>53</v>
      </c>
      <c r="BB3" s="2456">
        <v>54</v>
      </c>
      <c r="BC3" s="2456">
        <v>55</v>
      </c>
      <c r="BD3" s="2456">
        <v>56</v>
      </c>
      <c r="BE3" s="2456">
        <v>57</v>
      </c>
      <c r="BF3" s="2456">
        <v>58</v>
      </c>
      <c r="BG3" s="2456">
        <v>59</v>
      </c>
      <c r="BH3" s="2456">
        <v>60</v>
      </c>
      <c r="BI3" s="2456">
        <v>61</v>
      </c>
      <c r="BJ3" s="2456">
        <v>62</v>
      </c>
      <c r="BK3" s="2459">
        <v>63</v>
      </c>
      <c r="BL3" s="2455">
        <v>62</v>
      </c>
      <c r="BM3" s="2456">
        <v>65</v>
      </c>
      <c r="BN3" s="2456">
        <v>66</v>
      </c>
      <c r="BO3" s="2456">
        <v>67</v>
      </c>
      <c r="BP3" s="2459">
        <v>68</v>
      </c>
      <c r="BQ3" s="2455">
        <v>67</v>
      </c>
      <c r="BR3" s="2456">
        <v>70</v>
      </c>
      <c r="BS3" s="2456">
        <v>71</v>
      </c>
      <c r="BT3" s="2456">
        <v>72</v>
      </c>
      <c r="BU3" s="2459">
        <v>73</v>
      </c>
      <c r="BV3" s="2455">
        <v>72</v>
      </c>
      <c r="BW3" s="2456">
        <v>75</v>
      </c>
      <c r="BX3" s="2456">
        <v>76</v>
      </c>
      <c r="BY3" s="2456">
        <v>77</v>
      </c>
      <c r="BZ3" s="2459">
        <v>78</v>
      </c>
      <c r="CA3" s="2455">
        <v>77</v>
      </c>
      <c r="CB3" s="2456">
        <v>80</v>
      </c>
      <c r="CC3" s="2456">
        <v>81</v>
      </c>
      <c r="CD3" s="2456">
        <v>82</v>
      </c>
      <c r="CE3" s="2459">
        <v>83</v>
      </c>
      <c r="CF3" s="2455">
        <v>82</v>
      </c>
      <c r="CG3" s="2456">
        <v>85</v>
      </c>
      <c r="CH3" s="2456">
        <v>86</v>
      </c>
      <c r="CI3" s="2456">
        <v>87</v>
      </c>
      <c r="CJ3" s="2459">
        <v>88</v>
      </c>
      <c r="CK3" s="2455">
        <v>87</v>
      </c>
      <c r="CL3" s="2456">
        <v>90</v>
      </c>
      <c r="CM3" s="2456">
        <v>91</v>
      </c>
      <c r="CN3" s="2456">
        <v>92</v>
      </c>
      <c r="CO3" s="2459">
        <v>93</v>
      </c>
      <c r="CP3" s="2455">
        <v>92</v>
      </c>
      <c r="CQ3" s="2456">
        <v>95</v>
      </c>
      <c r="CR3" s="2456">
        <v>96</v>
      </c>
      <c r="CS3" s="2456">
        <v>97</v>
      </c>
      <c r="CT3" s="2459">
        <v>98</v>
      </c>
      <c r="CU3" s="2455">
        <v>97</v>
      </c>
      <c r="CV3" s="2456"/>
      <c r="CW3" s="2456"/>
      <c r="CX3" s="684">
        <v>100</v>
      </c>
      <c r="CY3" s="2455">
        <v>101</v>
      </c>
      <c r="CZ3" s="2456"/>
      <c r="DA3" s="2456"/>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53"/>
      <c r="J4" s="2454"/>
      <c r="K4" s="2454"/>
      <c r="L4" s="2454"/>
      <c r="M4" s="2454"/>
      <c r="N4" s="2454"/>
      <c r="O4" s="2454"/>
      <c r="P4" s="2454"/>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50" t="s">
        <v>155</v>
      </c>
      <c r="AH4" s="2451"/>
      <c r="AI4" s="2451"/>
      <c r="AJ4" s="2451"/>
      <c r="AK4" s="2451"/>
      <c r="AL4" s="2451"/>
      <c r="AM4" s="2451"/>
      <c r="AN4" s="2451"/>
      <c r="AO4" s="2451"/>
      <c r="AP4" s="2452"/>
      <c r="AQ4" s="2450" t="s">
        <v>155</v>
      </c>
      <c r="AR4" s="2451"/>
      <c r="AS4" s="2451"/>
      <c r="AT4" s="2451"/>
      <c r="AU4" s="2452"/>
      <c r="AV4" s="2450" t="s">
        <v>155</v>
      </c>
      <c r="AW4" s="2451"/>
      <c r="AX4" s="2451"/>
      <c r="AY4" s="2451"/>
      <c r="AZ4" s="2451"/>
      <c r="BA4" s="2451"/>
      <c r="BB4" s="2451"/>
      <c r="BC4" s="2451"/>
      <c r="BD4" s="2451"/>
      <c r="BE4" s="2451"/>
      <c r="BF4" s="2451"/>
      <c r="BG4" s="2451"/>
      <c r="BH4" s="2451"/>
      <c r="BI4" s="2451"/>
      <c r="BJ4" s="2451"/>
      <c r="BK4" s="2452"/>
      <c r="BL4" s="2450" t="s">
        <v>155</v>
      </c>
      <c r="BM4" s="2451"/>
      <c r="BN4" s="2451"/>
      <c r="BO4" s="2451"/>
      <c r="BP4" s="2452"/>
      <c r="BQ4" s="2450" t="s">
        <v>155</v>
      </c>
      <c r="BR4" s="2451"/>
      <c r="BS4" s="2451"/>
      <c r="BT4" s="2451"/>
      <c r="BU4" s="2452"/>
      <c r="BV4" s="2450" t="s">
        <v>155</v>
      </c>
      <c r="BW4" s="2451"/>
      <c r="BX4" s="2451"/>
      <c r="BY4" s="2451"/>
      <c r="BZ4" s="2452"/>
      <c r="CA4" s="2450" t="s">
        <v>155</v>
      </c>
      <c r="CB4" s="2451"/>
      <c r="CC4" s="2451"/>
      <c r="CD4" s="2451"/>
      <c r="CE4" s="2452"/>
      <c r="CF4" s="2450" t="s">
        <v>155</v>
      </c>
      <c r="CG4" s="2451"/>
      <c r="CH4" s="2451"/>
      <c r="CI4" s="2451"/>
      <c r="CJ4" s="2452"/>
      <c r="CK4" s="2450" t="s">
        <v>155</v>
      </c>
      <c r="CL4" s="2451"/>
      <c r="CM4" s="2451"/>
      <c r="CN4" s="2451"/>
      <c r="CO4" s="2452"/>
      <c r="CP4" s="2450" t="s">
        <v>155</v>
      </c>
      <c r="CQ4" s="2451"/>
      <c r="CR4" s="2451"/>
      <c r="CS4" s="2451"/>
      <c r="CT4" s="2452"/>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5" customHeight="1">
      <c r="A5" s="699"/>
      <c r="B5" s="686"/>
      <c r="C5" s="700"/>
      <c r="D5" s="701"/>
      <c r="E5" s="702"/>
      <c r="F5" s="703"/>
      <c r="G5" s="704"/>
      <c r="H5" s="705"/>
      <c r="I5" s="2440" t="s">
        <v>1866</v>
      </c>
      <c r="J5" s="2441"/>
      <c r="K5" s="2441"/>
      <c r="L5" s="2441"/>
      <c r="M5" s="2441"/>
      <c r="N5" s="2441"/>
      <c r="O5" s="2441"/>
      <c r="P5" s="2441"/>
      <c r="Q5" s="2442"/>
      <c r="R5" s="706"/>
      <c r="S5" s="702"/>
      <c r="T5" s="707"/>
      <c r="U5" s="708"/>
      <c r="V5" s="708"/>
      <c r="W5" s="709"/>
      <c r="X5" s="710"/>
      <c r="Y5" s="1291"/>
      <c r="Z5" s="704"/>
      <c r="AA5" s="1288"/>
      <c r="AB5" s="711"/>
      <c r="AC5" s="711"/>
      <c r="AD5" s="711"/>
      <c r="AE5" s="711"/>
      <c r="AF5" s="712"/>
      <c r="AG5" s="2440" t="s">
        <v>1867</v>
      </c>
      <c r="AH5" s="2441"/>
      <c r="AI5" s="2441"/>
      <c r="AJ5" s="2441"/>
      <c r="AK5" s="2441"/>
      <c r="AL5" s="2441"/>
      <c r="AM5" s="2441"/>
      <c r="AN5" s="2441"/>
      <c r="AO5" s="2441"/>
      <c r="AP5" s="2443"/>
      <c r="AQ5" s="2440" t="s">
        <v>1868</v>
      </c>
      <c r="AR5" s="2441"/>
      <c r="AS5" s="2441"/>
      <c r="AT5" s="2441"/>
      <c r="AU5" s="2443"/>
      <c r="AV5" s="2440" t="s">
        <v>1869</v>
      </c>
      <c r="AW5" s="2441"/>
      <c r="AX5" s="2441"/>
      <c r="AY5" s="2441"/>
      <c r="AZ5" s="2441"/>
      <c r="BA5" s="2441"/>
      <c r="BB5" s="2441"/>
      <c r="BC5" s="2441"/>
      <c r="BD5" s="2441"/>
      <c r="BE5" s="2441"/>
      <c r="BF5" s="2441"/>
      <c r="BG5" s="2441"/>
      <c r="BH5" s="2441"/>
      <c r="BI5" s="2441"/>
      <c r="BJ5" s="2441"/>
      <c r="BK5" s="2443"/>
      <c r="BL5" s="2444" t="s">
        <v>648</v>
      </c>
      <c r="BM5" s="2445"/>
      <c r="BN5" s="2445"/>
      <c r="BO5" s="2445"/>
      <c r="BP5" s="2446"/>
      <c r="BQ5" s="2447" t="s">
        <v>1870</v>
      </c>
      <c r="BR5" s="2448"/>
      <c r="BS5" s="2448"/>
      <c r="BT5" s="2448"/>
      <c r="BU5" s="2449"/>
      <c r="BV5" s="2447" t="s">
        <v>1871</v>
      </c>
      <c r="BW5" s="2448"/>
      <c r="BX5" s="2448"/>
      <c r="BY5" s="2448"/>
      <c r="BZ5" s="2449"/>
      <c r="CA5" s="2447" t="s">
        <v>1872</v>
      </c>
      <c r="CB5" s="2448"/>
      <c r="CC5" s="2448"/>
      <c r="CD5" s="2448"/>
      <c r="CE5" s="2449"/>
      <c r="CF5" s="2447" t="s">
        <v>1873</v>
      </c>
      <c r="CG5" s="2448"/>
      <c r="CH5" s="2448"/>
      <c r="CI5" s="2448"/>
      <c r="CJ5" s="2449"/>
      <c r="CK5" s="2447" t="s">
        <v>1874</v>
      </c>
      <c r="CL5" s="2448"/>
      <c r="CM5" s="2448"/>
      <c r="CN5" s="2448"/>
      <c r="CO5" s="2449"/>
      <c r="CP5" s="2447" t="s">
        <v>1875</v>
      </c>
      <c r="CQ5" s="2448"/>
      <c r="CR5" s="2448"/>
      <c r="CS5" s="2448"/>
      <c r="CT5" s="2449"/>
      <c r="CU5" s="2437" t="s">
        <v>1876</v>
      </c>
      <c r="CV5" s="2438"/>
      <c r="CW5" s="2438"/>
      <c r="CX5" s="2438"/>
      <c r="CY5" s="2437" t="s">
        <v>1877</v>
      </c>
      <c r="CZ5" s="2438"/>
      <c r="DA5" s="2438"/>
      <c r="DB5" s="2439"/>
      <c r="DC5" s="711"/>
      <c r="DD5" s="713"/>
      <c r="DE5" s="714"/>
    </row>
    <row r="6" spans="1:109" s="55" customFormat="1" ht="57.6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3">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382">
        <v>38</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5"/>
      <c r="BR384" s="2356"/>
      <c r="BS384" s="2356"/>
      <c r="BT384" s="2356"/>
      <c r="BU384" s="2357"/>
      <c r="BV384" s="775" t="s">
        <v>1984</v>
      </c>
      <c r="BW384" s="776" t="s">
        <v>1984</v>
      </c>
      <c r="BX384" s="776" t="s">
        <v>1984</v>
      </c>
      <c r="BY384" s="776" t="s">
        <v>1984</v>
      </c>
      <c r="BZ384" s="776" t="s">
        <v>1984</v>
      </c>
      <c r="CA384" s="2355"/>
      <c r="CB384" s="2356"/>
      <c r="CC384" s="2356"/>
      <c r="CD384" s="2356"/>
      <c r="CE384" s="2357"/>
      <c r="CF384" s="2356"/>
      <c r="CG384" s="2356"/>
      <c r="CH384" s="2356"/>
      <c r="CI384" s="2356"/>
      <c r="CJ384" s="2357"/>
      <c r="CK384" s="777" t="s">
        <v>1984</v>
      </c>
      <c r="CL384" s="769" t="s">
        <v>1984</v>
      </c>
      <c r="CM384" s="769" t="s">
        <v>1984</v>
      </c>
      <c r="CN384" s="769" t="s">
        <v>1984</v>
      </c>
      <c r="CO384" s="774" t="s">
        <v>1984</v>
      </c>
      <c r="CP384" s="2355"/>
      <c r="CQ384" s="2356"/>
      <c r="CR384" s="2356"/>
      <c r="CS384" s="2356"/>
      <c r="CT384" s="2357"/>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2365">
        <v>1</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8">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4">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65">
      <c r="A688" s="1219" t="s">
        <v>697</v>
      </c>
      <c r="B688" s="1220">
        <v>682</v>
      </c>
      <c r="C688" s="1221" t="s">
        <v>5600</v>
      </c>
      <c r="D688" s="1220" t="s">
        <v>5602</v>
      </c>
      <c r="E688" s="1220" t="s">
        <v>1949</v>
      </c>
      <c r="F688" s="1222"/>
      <c r="G688" s="1223" t="s">
        <v>5601</v>
      </c>
      <c r="H688" s="1224" t="s">
        <v>5603</v>
      </c>
      <c r="I688" s="1225"/>
      <c r="J688" s="1226">
        <v>1</v>
      </c>
      <c r="K688" s="1226"/>
      <c r="L688" s="1226"/>
      <c r="M688" s="1226"/>
      <c r="N688" s="1226"/>
      <c r="O688" s="1226"/>
      <c r="P688" s="1227"/>
      <c r="Q688" s="764">
        <f t="shared" si="10"/>
        <v>1</v>
      </c>
      <c r="R688" s="1221" t="s">
        <v>664</v>
      </c>
      <c r="S688" s="1220" t="s">
        <v>656</v>
      </c>
      <c r="T688" s="1229" t="s">
        <v>666</v>
      </c>
      <c r="U688" s="1220" t="s">
        <v>1952</v>
      </c>
      <c r="V688" s="1220" t="s">
        <v>148</v>
      </c>
      <c r="W688" s="1220" t="s">
        <v>5604</v>
      </c>
      <c r="X688" s="1230">
        <v>0</v>
      </c>
      <c r="Y688" s="1231" t="s">
        <v>658</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28" t="s">
        <v>91</v>
      </c>
      <c r="C1" s="240"/>
      <c r="D1" s="240"/>
      <c r="E1" s="269"/>
    </row>
    <row r="2" spans="2:6" ht="22.5" thickBot="1">
      <c r="B2" s="1814" t="s">
        <v>92</v>
      </c>
      <c r="C2" s="387" t="s">
        <v>5247</v>
      </c>
    </row>
    <row r="3" spans="2:6" ht="22.5" thickBot="1">
      <c r="B3" s="1814" t="s">
        <v>716</v>
      </c>
      <c r="C3" s="387" t="s">
        <v>94</v>
      </c>
      <c r="D3" s="8"/>
      <c r="E3" s="8"/>
      <c r="F3" s="1342" t="str">
        <f>VLOOKUP($B$3,Validation!$B$5:$D$22,3,0)</f>
        <v>WoC</v>
      </c>
    </row>
    <row r="4" spans="2:6"/>
    <row r="5" spans="2:6" ht="14.5">
      <c r="B5" s="1342" t="s">
        <v>95</v>
      </c>
    </row>
    <row r="6" spans="2:6"/>
    <row r="7" spans="2:6" ht="26">
      <c r="B7" s="1515" t="s">
        <v>96</v>
      </c>
      <c r="C7" s="1516" t="s">
        <v>97</v>
      </c>
      <c r="D7" s="1517" t="s">
        <v>98</v>
      </c>
      <c r="E7" s="1517" t="s">
        <v>99</v>
      </c>
    </row>
    <row r="8" spans="2:6" ht="25.4" customHeight="1">
      <c r="B8" s="2332"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4" customHeight="1">
      <c r="B9" s="325" t="s">
        <v>101</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4" customHeight="1">
      <c r="B10" s="2333"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4" customHeight="1">
      <c r="B11" s="2333"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4" customHeight="1">
      <c r="B12" s="2331"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4" customHeight="1">
      <c r="B13" s="2331"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4" customHeight="1">
      <c r="B14" s="2331"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4" customHeight="1">
      <c r="B15" s="2331"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4" customHeight="1">
      <c r="B16" s="2333" t="s">
        <v>108</v>
      </c>
      <c r="C16" s="326" t="str">
        <f>IF($B$3="Select company","",(IF($F$3="WoC","",IF(SUM('3G'!$W$9:$Y$13)&gt;0,"Review validation checks","No issues identified"))))</f>
        <v/>
      </c>
      <c r="D16" s="326" t="str">
        <f>IF($B$3="Select company","",(IF($F$3="WoC","",IF(SUM('3G'!$AC$9:$AE$13)&gt;0,"Review validation checks","No issues identified"))))</f>
        <v/>
      </c>
      <c r="E16" s="2021"/>
    </row>
    <row r="17" spans="2:5" ht="25.4" customHeight="1">
      <c r="B17" s="2331"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4" customHeight="1">
      <c r="B18" s="2333"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18"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8" t="s">
        <v>4762</v>
      </c>
      <c r="B3" s="2468"/>
      <c r="C3" s="2468"/>
      <c r="D3" s="2468"/>
      <c r="E3" s="2468"/>
      <c r="F3" s="2468"/>
      <c r="G3" s="2468"/>
      <c r="H3" s="2468"/>
      <c r="I3" s="2468"/>
      <c r="J3" s="2468"/>
      <c r="K3" s="2468"/>
      <c r="L3" s="2468"/>
      <c r="M3" s="2468"/>
      <c r="N3" s="2468"/>
      <c r="O3" s="2468"/>
      <c r="P3" s="2468"/>
      <c r="Q3" s="2468"/>
      <c r="R3" s="2468"/>
      <c r="S3" s="2468"/>
      <c r="T3" s="47"/>
      <c r="U3" s="2469"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70"/>
      <c r="CT3" s="2471"/>
      <c r="CU3" s="2471"/>
      <c r="CV3" s="2471"/>
      <c r="CW3" s="2471"/>
      <c r="CX3" s="2471"/>
      <c r="CY3" s="2471"/>
      <c r="CZ3" s="2471"/>
      <c r="DA3" s="2471"/>
      <c r="DB3" s="247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8"/>
      <c r="B4" s="2468"/>
      <c r="C4" s="2468"/>
      <c r="D4" s="2468"/>
      <c r="E4" s="2468"/>
      <c r="F4" s="2468"/>
      <c r="G4" s="2468"/>
      <c r="H4" s="2468"/>
      <c r="I4" s="2468"/>
      <c r="J4" s="2468"/>
      <c r="K4" s="2468"/>
      <c r="L4" s="2468"/>
      <c r="M4" s="2468"/>
      <c r="N4" s="2468"/>
      <c r="O4" s="2468"/>
      <c r="P4" s="2468"/>
      <c r="Q4" s="2468"/>
      <c r="R4" s="2468"/>
      <c r="S4" s="2468"/>
      <c r="T4" s="47"/>
      <c r="U4" s="246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71"/>
      <c r="CT4" s="2471"/>
      <c r="CU4" s="2471"/>
      <c r="CV4" s="2471"/>
      <c r="CW4" s="2471"/>
      <c r="CX4" s="2471"/>
      <c r="CY4" s="2471"/>
      <c r="CZ4" s="2471"/>
      <c r="DA4" s="2471"/>
      <c r="DB4" s="247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72">
        <v>25</v>
      </c>
      <c r="AB6" s="2473"/>
      <c r="AC6" s="2473"/>
      <c r="AD6" s="2473"/>
      <c r="AE6" s="2473"/>
      <c r="AF6" s="2473"/>
      <c r="AG6" s="2473"/>
      <c r="AH6" s="2473"/>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5">
        <v>49</v>
      </c>
      <c r="AZ6" s="2466">
        <v>52</v>
      </c>
      <c r="BA6" s="2466">
        <v>53</v>
      </c>
      <c r="BB6" s="2466">
        <v>54</v>
      </c>
      <c r="BC6" s="2466">
        <v>55</v>
      </c>
      <c r="BD6" s="2466">
        <v>56</v>
      </c>
      <c r="BE6" s="2466">
        <v>57</v>
      </c>
      <c r="BF6" s="2466">
        <v>58</v>
      </c>
      <c r="BG6" s="2466">
        <v>59</v>
      </c>
      <c r="BH6" s="2467">
        <v>60</v>
      </c>
      <c r="BI6" s="2465">
        <v>59</v>
      </c>
      <c r="BJ6" s="2466">
        <v>62</v>
      </c>
      <c r="BK6" s="2466">
        <v>63</v>
      </c>
      <c r="BL6" s="2466">
        <v>64</v>
      </c>
      <c r="BM6" s="2467">
        <v>65</v>
      </c>
      <c r="BN6" s="2465">
        <v>64</v>
      </c>
      <c r="BO6" s="2466">
        <v>67</v>
      </c>
      <c r="BP6" s="2466">
        <v>68</v>
      </c>
      <c r="BQ6" s="2466">
        <v>69</v>
      </c>
      <c r="BR6" s="2466">
        <v>70</v>
      </c>
      <c r="BS6" s="2466">
        <v>71</v>
      </c>
      <c r="BT6" s="2466">
        <v>72</v>
      </c>
      <c r="BU6" s="2466">
        <v>73</v>
      </c>
      <c r="BV6" s="2466">
        <v>74</v>
      </c>
      <c r="BW6" s="2466">
        <v>75</v>
      </c>
      <c r="BX6" s="2466">
        <v>76</v>
      </c>
      <c r="BY6" s="2466">
        <v>77</v>
      </c>
      <c r="BZ6" s="2466">
        <v>78</v>
      </c>
      <c r="CA6" s="2466">
        <v>79</v>
      </c>
      <c r="CB6" s="2466">
        <v>80</v>
      </c>
      <c r="CC6" s="2467">
        <v>81</v>
      </c>
      <c r="CD6" s="2465">
        <v>80</v>
      </c>
      <c r="CE6" s="2466">
        <v>83</v>
      </c>
      <c r="CF6" s="2466">
        <v>84</v>
      </c>
      <c r="CG6" s="2466">
        <v>85</v>
      </c>
      <c r="CH6" s="2467">
        <v>86</v>
      </c>
      <c r="CI6" s="2465">
        <v>85</v>
      </c>
      <c r="CJ6" s="2466">
        <v>88</v>
      </c>
      <c r="CK6" s="2466">
        <v>89</v>
      </c>
      <c r="CL6" s="2466">
        <v>90</v>
      </c>
      <c r="CM6" s="2467">
        <v>91</v>
      </c>
      <c r="CN6" s="2465">
        <v>90</v>
      </c>
      <c r="CO6" s="2466">
        <v>93</v>
      </c>
      <c r="CP6" s="2466">
        <v>94</v>
      </c>
      <c r="CQ6" s="2466">
        <v>95</v>
      </c>
      <c r="CR6" s="2466">
        <v>96</v>
      </c>
      <c r="CS6" s="2465">
        <v>95</v>
      </c>
      <c r="CT6" s="2466">
        <v>98</v>
      </c>
      <c r="CU6" s="2466">
        <v>99</v>
      </c>
      <c r="CV6" s="2466">
        <v>100</v>
      </c>
      <c r="CW6" s="2466">
        <v>101</v>
      </c>
      <c r="CX6" s="2465">
        <v>100</v>
      </c>
      <c r="CY6" s="2466">
        <v>103</v>
      </c>
      <c r="CZ6" s="2466">
        <v>104</v>
      </c>
      <c r="DA6" s="2466">
        <v>105</v>
      </c>
      <c r="DB6" s="2466">
        <v>106</v>
      </c>
      <c r="DC6" s="2466">
        <v>105</v>
      </c>
      <c r="DD6" s="2466">
        <v>108</v>
      </c>
      <c r="DE6" s="2466">
        <v>109</v>
      </c>
      <c r="DF6" s="2466">
        <v>110</v>
      </c>
      <c r="DG6" s="2467">
        <v>111</v>
      </c>
      <c r="DH6" s="2465">
        <v>110</v>
      </c>
      <c r="DI6" s="2466">
        <v>113</v>
      </c>
      <c r="DJ6" s="2466">
        <v>114</v>
      </c>
      <c r="DK6" s="2466">
        <v>115</v>
      </c>
      <c r="DL6" s="2467">
        <v>116</v>
      </c>
      <c r="DM6" s="2465">
        <v>115</v>
      </c>
      <c r="DN6" s="2466"/>
      <c r="DO6" s="2466"/>
      <c r="DP6" s="948">
        <v>118</v>
      </c>
      <c r="DQ6" s="2465">
        <v>119</v>
      </c>
      <c r="DR6" s="2466"/>
      <c r="DS6" s="2466"/>
      <c r="DT6" s="948">
        <v>122</v>
      </c>
      <c r="DU6" s="1296">
        <v>123</v>
      </c>
      <c r="DV6" s="948">
        <v>124</v>
      </c>
      <c r="DW6" s="1295">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53"/>
      <c r="AB7" s="2464"/>
      <c r="AC7" s="2464"/>
      <c r="AD7" s="2464"/>
      <c r="AE7" s="2464"/>
      <c r="AF7" s="2464"/>
      <c r="AG7" s="2464"/>
      <c r="AH7" s="2464"/>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50" t="s">
        <v>155</v>
      </c>
      <c r="AZ7" s="2451"/>
      <c r="BA7" s="2451"/>
      <c r="BB7" s="2451"/>
      <c r="BC7" s="2451"/>
      <c r="BD7" s="2451"/>
      <c r="BE7" s="2451"/>
      <c r="BF7" s="2451"/>
      <c r="BG7" s="2451"/>
      <c r="BH7" s="2452"/>
      <c r="BI7" s="2450" t="s">
        <v>155</v>
      </c>
      <c r="BJ7" s="2451"/>
      <c r="BK7" s="2451"/>
      <c r="BL7" s="2451"/>
      <c r="BM7" s="2452"/>
      <c r="BN7" s="2450" t="s">
        <v>155</v>
      </c>
      <c r="BO7" s="2451"/>
      <c r="BP7" s="2451"/>
      <c r="BQ7" s="2451"/>
      <c r="BR7" s="2451"/>
      <c r="BS7" s="2451"/>
      <c r="BT7" s="2451"/>
      <c r="BU7" s="2451"/>
      <c r="BV7" s="2451"/>
      <c r="BW7" s="2451"/>
      <c r="BX7" s="2451"/>
      <c r="BY7" s="2451"/>
      <c r="BZ7" s="2451"/>
      <c r="CA7" s="2451"/>
      <c r="CB7" s="2451"/>
      <c r="CC7" s="2452"/>
      <c r="CD7" s="2450" t="s">
        <v>155</v>
      </c>
      <c r="CE7" s="2451"/>
      <c r="CF7" s="2451"/>
      <c r="CG7" s="2451"/>
      <c r="CH7" s="2452"/>
      <c r="CI7" s="2450" t="s">
        <v>155</v>
      </c>
      <c r="CJ7" s="2451"/>
      <c r="CK7" s="2451"/>
      <c r="CL7" s="2451"/>
      <c r="CM7" s="2452"/>
      <c r="CN7" s="2450" t="s">
        <v>155</v>
      </c>
      <c r="CO7" s="2451"/>
      <c r="CP7" s="2451"/>
      <c r="CQ7" s="2451"/>
      <c r="CR7" s="2451"/>
      <c r="CS7" s="2450" t="s">
        <v>155</v>
      </c>
      <c r="CT7" s="2451"/>
      <c r="CU7" s="2451"/>
      <c r="CV7" s="2451"/>
      <c r="CW7" s="2451"/>
      <c r="CX7" s="2450" t="s">
        <v>155</v>
      </c>
      <c r="CY7" s="2451"/>
      <c r="CZ7" s="2451"/>
      <c r="DA7" s="2451"/>
      <c r="DB7" s="2451"/>
      <c r="DC7" s="2451" t="s">
        <v>155</v>
      </c>
      <c r="DD7" s="2451"/>
      <c r="DE7" s="2451"/>
      <c r="DF7" s="2451"/>
      <c r="DG7" s="2452"/>
      <c r="DH7" s="2450" t="s">
        <v>155</v>
      </c>
      <c r="DI7" s="2451"/>
      <c r="DJ7" s="2451"/>
      <c r="DK7" s="2451"/>
      <c r="DL7" s="2452"/>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40" t="s">
        <v>4765</v>
      </c>
      <c r="AB8" s="2441"/>
      <c r="AC8" s="2441"/>
      <c r="AD8" s="2441"/>
      <c r="AE8" s="2441"/>
      <c r="AF8" s="2441"/>
      <c r="AG8" s="2441"/>
      <c r="AH8" s="2441"/>
      <c r="AI8" s="2463"/>
      <c r="AJ8" s="703"/>
      <c r="AK8" s="702"/>
      <c r="AL8" s="707"/>
      <c r="AM8" s="708"/>
      <c r="AN8" s="708"/>
      <c r="AO8" s="709"/>
      <c r="AP8" s="710"/>
      <c r="AQ8" s="1291"/>
      <c r="AR8" s="704"/>
      <c r="AS8" s="1288"/>
      <c r="AT8" s="711"/>
      <c r="AU8" s="711"/>
      <c r="AV8" s="711"/>
      <c r="AW8" s="711"/>
      <c r="AX8" s="712"/>
      <c r="AY8" s="2440" t="s">
        <v>1867</v>
      </c>
      <c r="AZ8" s="2441"/>
      <c r="BA8" s="2441"/>
      <c r="BB8" s="2441"/>
      <c r="BC8" s="2441"/>
      <c r="BD8" s="2441"/>
      <c r="BE8" s="2441"/>
      <c r="BF8" s="2441"/>
      <c r="BG8" s="2441"/>
      <c r="BH8" s="2443"/>
      <c r="BI8" s="2440" t="s">
        <v>1868</v>
      </c>
      <c r="BJ8" s="2441"/>
      <c r="BK8" s="2441"/>
      <c r="BL8" s="2441"/>
      <c r="BM8" s="2443"/>
      <c r="BN8" s="2440" t="s">
        <v>1869</v>
      </c>
      <c r="BO8" s="2441"/>
      <c r="BP8" s="2441"/>
      <c r="BQ8" s="2441"/>
      <c r="BR8" s="2441"/>
      <c r="BS8" s="2441"/>
      <c r="BT8" s="2441"/>
      <c r="BU8" s="2441"/>
      <c r="BV8" s="2441"/>
      <c r="BW8" s="2441"/>
      <c r="BX8" s="2441"/>
      <c r="BY8" s="2441"/>
      <c r="BZ8" s="2441"/>
      <c r="CA8" s="2441"/>
      <c r="CB8" s="2441"/>
      <c r="CC8" s="2443"/>
      <c r="CD8" s="2444" t="s">
        <v>648</v>
      </c>
      <c r="CE8" s="2445"/>
      <c r="CF8" s="2445"/>
      <c r="CG8" s="2445"/>
      <c r="CH8" s="2446"/>
      <c r="CI8" s="2447" t="s">
        <v>1870</v>
      </c>
      <c r="CJ8" s="2448"/>
      <c r="CK8" s="2448"/>
      <c r="CL8" s="2448"/>
      <c r="CM8" s="2449"/>
      <c r="CN8" s="2447" t="s">
        <v>1871</v>
      </c>
      <c r="CO8" s="2448"/>
      <c r="CP8" s="2448"/>
      <c r="CQ8" s="2448"/>
      <c r="CR8" s="2448"/>
      <c r="CS8" s="2447" t="s">
        <v>1872</v>
      </c>
      <c r="CT8" s="2448"/>
      <c r="CU8" s="2448"/>
      <c r="CV8" s="2448"/>
      <c r="CW8" s="2448"/>
      <c r="CX8" s="2447" t="s">
        <v>1873</v>
      </c>
      <c r="CY8" s="2448"/>
      <c r="CZ8" s="2448"/>
      <c r="DA8" s="2448"/>
      <c r="DB8" s="2448"/>
      <c r="DC8" s="2460" t="s">
        <v>1874</v>
      </c>
      <c r="DD8" s="2448"/>
      <c r="DE8" s="2448"/>
      <c r="DF8" s="2448"/>
      <c r="DG8" s="2449"/>
      <c r="DH8" s="2447" t="s">
        <v>1875</v>
      </c>
      <c r="DI8" s="2448"/>
      <c r="DJ8" s="2448"/>
      <c r="DK8" s="2448"/>
      <c r="DL8" s="2449"/>
      <c r="DM8" s="2437" t="s">
        <v>4766</v>
      </c>
      <c r="DN8" s="2461"/>
      <c r="DO8" s="2461"/>
      <c r="DP8" s="2461"/>
      <c r="DQ8" s="2437" t="s">
        <v>1877</v>
      </c>
      <c r="DR8" s="2461"/>
      <c r="DS8" s="2461"/>
      <c r="DT8" s="2462"/>
      <c r="DU8" s="711"/>
      <c r="DV8" s="713"/>
      <c r="DW8" s="957"/>
    </row>
    <row r="9" spans="1:127" s="55" customFormat="1" ht="52.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2390">
        <v>-0.7</v>
      </c>
      <c r="DN42" s="2391">
        <v>-0.36499999999999999</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3">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2390">
        <v>-0.253</v>
      </c>
      <c r="DN658" s="2391">
        <v>-0.16700000000000001</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63"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533">
        <f>IF(Ofwat_PC_Interventions!J7&lt;&gt;"",Ofwat_PC_Interventions!J7,IF(Company_PC_inputs!J7&lt;&gt;"",Company_PC_inputs!J7,""))</f>
        <v>0</v>
      </c>
      <c r="K7" s="534">
        <f>IF(Ofwat_PC_Interventions!K7&lt;&gt;"",Ofwat_PC_Interventions!K7,IF(Company_PC_inputs!K7&lt;&gt;"",Company_PC_inputs!K7,""))</f>
        <v>1.8514506564393345E-2</v>
      </c>
      <c r="L7" s="533">
        <f>IF(Ofwat_PC_Interventions!L7&lt;&gt;"",Ofwat_PC_Interventions!L7,IF(Company_PC_inputs!L7&lt;&gt;"",Company_PC_inputs!L7,""))</f>
        <v>15.873015873015872</v>
      </c>
      <c r="M7" s="533" t="str">
        <f>IF(Ofwat_PC_Interventions!M7&lt;&gt;"",Ofwat_PC_Interventions!M7,IF(Company_PC_inputs!M7&lt;&gt;"",Company_PC_inputs!M7,""))</f>
        <v/>
      </c>
      <c r="N7" s="533">
        <f>IF(Ofwat_PC_Interventions!N7&lt;&gt;"",Ofwat_PC_Interventions!N7,IF(Company_PC_inputs!N7&lt;&gt;"",Company_PC_inputs!N7,""))</f>
        <v>0.7382550335570448</v>
      </c>
      <c r="O7" s="533" t="str">
        <f>IF(Ofwat_PC_Interventions!O7&lt;&gt;"",Ofwat_PC_Interventions!O7,IF(Company_PC_inputs!O7&lt;&gt;"",Company_PC_inputs!O7,""))</f>
        <v/>
      </c>
      <c r="P7" s="535">
        <f>IF(Ofwat_PC_Interventions!P7&lt;&gt;"",Ofwat_PC_Interventions!P7,IF(Company_PC_inputs!P7&lt;&gt;"",Company_PC_inputs!P7,""))</f>
        <v>61.868543535021004</v>
      </c>
      <c r="Q7" s="536">
        <f>IF(Ofwat_PC_Interventions!Q7&lt;&gt;"",Ofwat_PC_Interventions!Q7,IF(Company_PC_inputs!Q7&lt;&gt;"",Company_PC_inputs!Q7,""))</f>
        <v>4.0073679901760126</v>
      </c>
      <c r="R7" s="537">
        <f>IF(Ofwat_PC_Interventions!R7&lt;&gt;"",Ofwat_PC_Interventions!R7,IF(Company_PC_inputs!R7&lt;&gt;"",Company_PC_inputs!R7,""))</f>
        <v>0.57999999999999996</v>
      </c>
      <c r="S7" s="538">
        <f>IF(Ofwat_PC_Interventions!S7&lt;&gt;"",Ofwat_PC_Interventions!S7,IF(Company_PC_inputs!S7&lt;&gt;"",Company_PC_inputs!S7,""))</f>
        <v>25379</v>
      </c>
      <c r="T7" s="537">
        <f>IF(Ofwat_PC_Interventions!T7&lt;&gt;"",Ofwat_PC_Interventions!T7,IF(Company_PC_inputs!T7&lt;&gt;"",Company_PC_inputs!T7,""))</f>
        <v>1.99</v>
      </c>
      <c r="U7" s="533">
        <f>IF(Ofwat_PC_Interventions!U7&lt;&gt;"",Ofwat_PC_Interventions!U7,IF(Company_PC_inputs!U7&lt;&gt;"",Company_PC_inputs!U7,""))</f>
        <v>90.68</v>
      </c>
      <c r="V7" s="535">
        <f>IF(Ofwat_PC_Interventions!V7&lt;&gt;"",Ofwat_PC_Interventions!V7,IF(Company_PC_inputs!V7&lt;&gt;"",Company_PC_inputs!V7,""))</f>
        <v>38</v>
      </c>
      <c r="W7" s="538">
        <f>IF(Ofwat_PC_Interventions!W7&lt;&gt;"",Ofwat_PC_Interventions!W7,IF(Company_PC_inputs!W7&lt;&gt;"",Company_PC_inputs!W7,""))</f>
        <v>17</v>
      </c>
      <c r="X7" s="538">
        <f>IF(Ofwat_PC_Interventions!X7&lt;&gt;"",Ofwat_PC_Interventions!X7,IF(Company_PC_inputs!X7&lt;&gt;"",Company_PC_inputs!X7,""))</f>
        <v>10.4</v>
      </c>
      <c r="Y7" s="539">
        <f>IF(Ofwat_PC_Interventions!Y7&lt;&gt;"",Ofwat_PC_Interventions!Y7,IF(Company_PC_inputs!Y7&lt;&gt;"",Company_PC_inputs!Y7,""))</f>
        <v>91</v>
      </c>
      <c r="Z7" s="533" t="str">
        <f>IF(Ofwat_PC_Interventions!Z7&lt;&gt;"",Ofwat_PC_Interventions!Z7,IF(Company_PC_inputs!Z7&lt;&gt;"",Company_PC_inputs!Z7,""))</f>
        <v/>
      </c>
      <c r="AA7" s="537" t="str">
        <f>IF(Ofwat_PC_Interventions!AA7&lt;&gt;"",Ofwat_PC_Interventions!AA7,IF(Company_PC_inputs!AA7&lt;&gt;"",Company_PC_inputs!AA7,""))</f>
        <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25.2</v>
      </c>
      <c r="M8" s="542" t="str">
        <f>IF(Ofwat_PC_Interventions!M8&lt;&gt;"",Ofwat_PC_Interventions!M8,IF(Company_PC_inputs!M8&lt;&gt;"",Company_PC_inputs!M8,""))</f>
        <v/>
      </c>
      <c r="N8" s="542">
        <f>IF(Ofwat_PC_Interventions!N8&lt;&gt;"",Ofwat_PC_Interventions!N8,IF(Company_PC_inputs!N8&lt;&gt;"",Company_PC_inputs!N8,""))</f>
        <v>149</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545" t="str">
        <f>IF(Ofwat_PC_Interventions!J16&lt;&gt;"",Ofwat_PC_Interventions!J16,IF(Company_PC_inputs!J16&lt;&gt;"",Company_PC_inputs!J16,""))</f>
        <v>PR19SES_A.4</v>
      </c>
      <c r="K16" s="545" t="str">
        <f>IF(Ofwat_PC_Interventions!K16&lt;&gt;"",Ofwat_PC_Interventions!K16,IF(Company_PC_inputs!K16&lt;&gt;"",Company_PC_inputs!K16,""))</f>
        <v>PR19SES_A.1</v>
      </c>
      <c r="L16" s="545" t="str">
        <f>IF(Ofwat_PC_Interventions!L16&lt;&gt;"",Ofwat_PC_Interventions!L16,IF(Company_PC_inputs!L16&lt;&gt;"",Company_PC_inputs!L16,""))</f>
        <v>PR19SES_C.4</v>
      </c>
      <c r="M16" s="545" t="str">
        <f>IF(Ofwat_PC_Interventions!M16&lt;&gt;"",Ofwat_PC_Interventions!M16,IF(Company_PC_inputs!M16&lt;&gt;"",Company_PC_inputs!M16,""))</f>
        <v/>
      </c>
      <c r="N16" s="545" t="str">
        <f>IF(Ofwat_PC_Interventions!N16&lt;&gt;"",Ofwat_PC_Interventions!N16,IF(Company_PC_inputs!N16&lt;&gt;"",Company_PC_inputs!N16,""))</f>
        <v>PR19SES_E.1</v>
      </c>
      <c r="O16" s="545" t="str">
        <f>IF(Ofwat_PC_Interventions!O16&lt;&gt;"",Ofwat_PC_Interventions!O16,IF(Company_PC_inputs!O16&lt;&gt;"",Company_PC_inputs!O16,""))</f>
        <v/>
      </c>
      <c r="P16" s="545" t="str">
        <f>IF(Ofwat_PC_Interventions!P16&lt;&gt;"",Ofwat_PC_Interventions!P16,IF(Company_PC_inputs!P16&lt;&gt;"",Company_PC_inputs!P16,""))</f>
        <v>PR19SES_A.2</v>
      </c>
      <c r="Q16" s="546" t="str">
        <f>IF(Ofwat_PC_Interventions!Q16&lt;&gt;"",Ofwat_PC_Interventions!Q16,IF(Company_PC_inputs!Q16&lt;&gt;"",Company_PC_inputs!Q16,""))</f>
        <v>PR19SES_C.3</v>
      </c>
      <c r="R16" s="545" t="str">
        <f>IF(Ofwat_PC_Interventions!R16&lt;&gt;"",Ofwat_PC_Interventions!R16,IF(Company_PC_inputs!R16&lt;&gt;"",Company_PC_inputs!R16,""))</f>
        <v>PR19SES_A.3</v>
      </c>
      <c r="S16" s="545" t="str">
        <f>IF(Ofwat_PC_Interventions!S16&lt;&gt;"",Ofwat_PC_Interventions!S16,IF(Company_PC_inputs!S16&lt;&gt;"",Company_PC_inputs!S16,""))</f>
        <v>PR19SES_B.1</v>
      </c>
      <c r="T16" s="545" t="str">
        <f>IF(Ofwat_PC_Interventions!T16&lt;&gt;"",Ofwat_PC_Interventions!T16,IF(Company_PC_inputs!T16&lt;&gt;"",Company_PC_inputs!T16,""))</f>
        <v>PR19SES_B.4</v>
      </c>
      <c r="U16" s="545" t="str">
        <f>IF(Ofwat_PC_Interventions!U16&lt;&gt;"",Ofwat_PC_Interventions!U16,IF(Company_PC_inputs!U16&lt;&gt;"",Company_PC_inputs!U16,""))</f>
        <v>PR19SES_D.1</v>
      </c>
      <c r="V16" s="545" t="str">
        <f>IF(Ofwat_PC_Interventions!V16&lt;&gt;"",Ofwat_PC_Interventions!V16,IF(Company_PC_inputs!V16&lt;&gt;"",Company_PC_inputs!V16,""))</f>
        <v>PR19SES_E.2</v>
      </c>
      <c r="W16" s="545" t="str">
        <f>IF(Ofwat_PC_Interventions!W16&lt;&gt;"",Ofwat_PC_Interventions!W16,IF(Company_PC_inputs!W16&lt;&gt;"",Company_PC_inputs!W16,""))</f>
        <v>PR19SES_E.6</v>
      </c>
      <c r="X16" s="545" t="str">
        <f>IF(Ofwat_PC_Interventions!X16&lt;&gt;"",Ofwat_PC_Interventions!X16,IF(Company_PC_inputs!X16&lt;&gt;"",Company_PC_inputs!X16,""))</f>
        <v>PR19SES_A.5</v>
      </c>
      <c r="Y16" s="545" t="str">
        <f>IF(Ofwat_PC_Interventions!Y16&lt;&gt;"",Ofwat_PC_Interventions!Y16,IF(Company_PC_inputs!Y16&lt;&gt;"",Company_PC_inputs!Y16,""))</f>
        <v>PR19SES_C.2</v>
      </c>
      <c r="Z16" s="545" t="str">
        <f>IF(Ofwat_PC_Interventions!Z16&lt;&gt;"",Ofwat_PC_Interventions!Z16,IF(Company_PC_inputs!Z16&lt;&gt;"",Company_PC_inputs!Z16,""))</f>
        <v/>
      </c>
      <c r="AA16" s="545" t="str">
        <f>IF(Ofwat_PC_Interventions!AA16&lt;&gt;"",Ofwat_PC_Interventions!AA16,IF(Company_PC_inputs!AA16&lt;&gt;"",Company_PC_inputs!AA16,""))</f>
        <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9">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Customer concerns about their water (taste, odour and discolouration contacts)</v>
      </c>
      <c r="S17" s="547" t="str">
        <f>IF(Ofwat_PC_Interventions!S17&lt;&gt;"",Ofwat_PC_Interventions!S17,IF(Company_PC_inputs!S17&lt;&gt;"",Company_PC_inputs!S17,""))</f>
        <v>Supporting customers in financial hardship</v>
      </c>
      <c r="T17" s="547" t="str">
        <f>IF(Ofwat_PC_Interventions!T17&lt;&gt;"",Ofwat_PC_Interventions!T17,IF(Company_PC_inputs!T17&lt;&gt;"",Company_PC_inputs!T17,""))</f>
        <v>Void properties</v>
      </c>
      <c r="U17" s="547" t="str">
        <f>IF(Ofwat_PC_Interventions!U17&lt;&gt;"",Ofwat_PC_Interventions!U17,IF(Company_PC_inputs!U17&lt;&gt;"",Company_PC_inputs!U17,""))</f>
        <v>First contact resolution</v>
      </c>
      <c r="V17" s="547" t="str">
        <f>IF(Ofwat_PC_Interventions!V17&lt;&gt;"",Ofwat_PC_Interventions!V17,IF(Company_PC_inputs!V17&lt;&gt;"",Company_PC_inputs!V17,""))</f>
        <v>Greenhouse gas emissions</v>
      </c>
      <c r="W17" s="547" t="str">
        <f>IF(Ofwat_PC_Interventions!W17&lt;&gt;"",Ofwat_PC_Interventions!W17,IF(Company_PC_inputs!W17&lt;&gt;"",Company_PC_inputs!W17,""))</f>
        <v>River based improvement - delivery of WINEP</v>
      </c>
      <c r="X17" s="547" t="str">
        <f>IF(Ofwat_PC_Interventions!X17&lt;&gt;"",Ofwat_PC_Interventions!X17,IF(Company_PC_inputs!X17&lt;&gt;"",Company_PC_inputs!X17,""))</f>
        <v>Water Softening</v>
      </c>
      <c r="Y17" s="547" t="str">
        <f>IF(Ofwat_PC_Interventions!Y17&lt;&gt;"",Ofwat_PC_Interventions!Y17,IF(Company_PC_inputs!Y17&lt;&gt;"",Company_PC_inputs!Y17,""))</f>
        <v>Risk of supply failures</v>
      </c>
      <c r="Z17" s="547" t="str">
        <f>IF(Ofwat_PC_Interventions!Z17&lt;&gt;"",Ofwat_PC_Interventions!Z17,IF(Company_PC_inputs!Z17&lt;&gt;"",Company_PC_inputs!Z17,""))</f>
        <v/>
      </c>
      <c r="AA17" s="547" t="str">
        <f>IF(Ofwat_PC_Interventions!AA17&lt;&gt;"",Ofwat_PC_Interventions!AA17,IF(Company_PC_inputs!AA17&lt;&gt;"",Company_PC_inputs!AA17,""))</f>
        <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f>IF(Ofwat_PC_Interventions!L23&lt;&gt;"",Ofwat_PC_Interventions!L23,IF(Company_PC_inputs!L23&lt;&gt;"",Company_PC_inputs!L23,""))</f>
        <v>0</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v>
      </c>
      <c r="Z31" s="468" t="str">
        <f>IF(Ofwat_PC_Interventions!Z31&lt;&gt;"",Ofwat_PC_Interventions!Z31,IF(Company_PC_inputs!Z31&lt;&gt;"",Company_PC_inputs!Z31,""))</f>
        <v/>
      </c>
      <c r="AA31" s="468" t="str">
        <f>IF(Ofwat_PC_Interventions!AA31&lt;&gt;"",Ofwat_PC_Interventions!AA31,IF(Company_PC_inputs!AA31&lt;&gt;"",Company_PC_inputs!AA31,""))</f>
        <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
      </c>
      <c r="AA33" s="472" t="str">
        <f>IF(Ofwat_PC_Interventions!AA33&lt;&gt;"",Ofwat_PC_Interventions!AA33,IF(Company_PC_inputs!AA33&lt;&gt;"",Company_PC_inputs!AA33,""))</f>
        <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
      </c>
      <c r="AA34" s="472" t="str">
        <f>IF(Ofwat_PC_Interventions!AA34&lt;&gt;"",Ofwat_PC_Interventions!AA34,IF(Company_PC_inputs!AA34&lt;&gt;"",Company_PC_inputs!AA34,""))</f>
        <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Up</v>
      </c>
      <c r="T38" s="472" t="str">
        <f>IF(Ofwat_PC_Interventions!T38&lt;&gt;"",Ofwat_PC_Interventions!T38,IF(Company_PC_inputs!T38&lt;&gt;"",Company_PC_inputs!T38,""))</f>
        <v>Down</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2</v>
      </c>
      <c r="U40" s="472">
        <f>IF(Ofwat_PC_Interventions!U40&lt;&gt;"",Ofwat_PC_Interventions!U40,IF(Company_PC_inputs!U40&lt;&gt;"",Company_PC_inputs!U40,""))</f>
        <v>1</v>
      </c>
      <c r="V40" s="472">
        <f>IF(Ofwat_PC_Interventions!V40&lt;&gt;"",Ofwat_PC_Interventions!V40,IF(Company_PC_inputs!V40&lt;&gt;"",Company_PC_inputs!V40,""))</f>
        <v>0</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0</v>
      </c>
      <c r="Z40" s="472" t="str">
        <f>IF(Ofwat_PC_Interventions!Z40&lt;&gt;"",Ofwat_PC_Interventions!Z40,IF(Company_PC_inputs!Z40&lt;&gt;"",Company_PC_inputs!Z40,""))</f>
        <v/>
      </c>
      <c r="AA40" s="472" t="str">
        <f>IF(Ofwat_PC_Interventions!AA40&lt;&gt;"",Ofwat_PC_Interventions!AA40,IF(Company_PC_inputs!AA40&lt;&gt;"",Company_PC_inputs!AA40,""))</f>
        <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7.291666666666667E-4</v>
      </c>
      <c r="L43" s="468">
        <f>IF(Ofwat_PC_Interventions!L43&lt;&gt;"",Ofwat_PC_Interventions!L43,IF(Company_PC_inputs!L43&lt;&gt;"",Company_PC_inputs!L43,""))</f>
        <v>28.1</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f>IF(Ofwat_PC_Interventions!T43&lt;&gt;"",Ofwat_PC_Interventions!T43,IF(Company_PC_inputs!T43&lt;&gt;"",Company_PC_inputs!T43,""))</f>
        <v>1.7</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12.4</v>
      </c>
      <c r="M45" s="468" t="str">
        <f>IF(Ofwat_PC_Interventions!M45&lt;&gt;"",Ofwat_PC_Interventions!M45,IF(Company_PC_inputs!M45&lt;&gt;"",Company_PC_inputs!M45,""))</f>
        <v/>
      </c>
      <c r="N45" s="468">
        <f>IF(Ofwat_PC_Interventions!N45&lt;&gt;"",Ofwat_PC_Interventions!N45,IF(Company_PC_inputs!N45&lt;&gt;"",Company_PC_inputs!N45,""))</f>
        <v>6.6</v>
      </c>
      <c r="O45" s="468" t="str">
        <f>IF(Ofwat_PC_Interventions!O45&lt;&gt;"",Ofwat_PC_Interventions!O45,IF(Company_PC_inputs!O45&lt;&gt;"",Company_PC_inputs!O45,""))</f>
        <v/>
      </c>
      <c r="P45" s="468">
        <f>IF(Ofwat_PC_Interventions!P45&lt;&gt;"",Ofwat_PC_Interventions!P45,IF(Company_PC_inputs!P45&lt;&gt;"",Company_PC_inputs!P45,""))</f>
        <v>59</v>
      </c>
      <c r="Q45" s="469">
        <f>IF(Ofwat_PC_Interventions!Q45&lt;&gt;"",Ofwat_PC_Interventions!Q45,IF(Company_PC_inputs!Q45&lt;&gt;"",Company_PC_inputs!Q45,""))</f>
        <v>2.34</v>
      </c>
      <c r="R45" s="468">
        <f>IF(Ofwat_PC_Interventions!R45&lt;&gt;"",Ofwat_PC_Interventions!R45,IF(Company_PC_inputs!R45&lt;&gt;"",Company_PC_inputs!R45,""))</f>
        <v>0.5</v>
      </c>
      <c r="S45" s="468">
        <f>IF(Ofwat_PC_Interventions!S45&lt;&gt;"",Ofwat_PC_Interventions!S45,IF(Company_PC_inputs!S45&lt;&gt;"",Company_PC_inputs!S45,""))</f>
        <v>25000</v>
      </c>
      <c r="T45" s="468">
        <f>IF(Ofwat_PC_Interventions!T45&lt;&gt;"",Ofwat_PC_Interventions!T45,IF(Company_PC_inputs!T45&lt;&gt;"",Company_PC_inputs!T45,""))</f>
        <v>2.2000000000000002</v>
      </c>
      <c r="U45" s="468">
        <f>IF(Ofwat_PC_Interventions!U45&lt;&gt;"",Ofwat_PC_Interventions!U45,IF(Company_PC_inputs!U45&lt;&gt;"",Company_PC_inputs!U45,""))</f>
        <v>90</v>
      </c>
      <c r="V45" s="468">
        <f>IF(Ofwat_PC_Interventions!V45&lt;&gt;"",Ofwat_PC_Interventions!V45,IF(Company_PC_inputs!V45&lt;&gt;"",Company_PC_inputs!V45,""))</f>
        <v>55</v>
      </c>
      <c r="W45" s="468">
        <f>IF(Ofwat_PC_Interventions!W45&lt;&gt;"",Ofwat_PC_Interventions!W45,IF(Company_PC_inputs!W45&lt;&gt;"",Company_PC_inputs!W45,""))</f>
        <v>24</v>
      </c>
      <c r="X45" s="468">
        <f>IF(Ofwat_PC_Interventions!X45&lt;&gt;"",Ofwat_PC_Interventions!X45,IF(Company_PC_inputs!X45&lt;&gt;"",Company_PC_inputs!X45,""))</f>
        <v>0</v>
      </c>
      <c r="Y45" s="468">
        <f>IF(Ofwat_PC_Interventions!Y45&lt;&gt;"",Ofwat_PC_Interventions!Y45,IF(Company_PC_inputs!Y45&lt;&gt;"",Company_PC_inputs!Y45,""))</f>
        <v>100</v>
      </c>
      <c r="Z45" s="468" t="str">
        <f>IF(Ofwat_PC_Interventions!Z45&lt;&gt;"",Ofwat_PC_Interventions!Z45,IF(Company_PC_inputs!Z45&lt;&gt;"",Company_PC_inputs!Z45,""))</f>
        <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644</v>
      </c>
      <c r="F46" s="431"/>
      <c r="G46" s="431" t="s">
        <v>871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1.1793981481481482E-2</v>
      </c>
      <c r="L47" s="468">
        <f>IF(Ofwat_PC_Interventions!L47&lt;&gt;"",Ofwat_PC_Interventions!L47,IF(Company_PC_inputs!L47&lt;&gt;"",Company_PC_inputs!L47,""))</f>
        <v>-50</v>
      </c>
      <c r="M47" s="468" t="str">
        <f>IF(Ofwat_PC_Interventions!M47&lt;&gt;"",Ofwat_PC_Interventions!M47,IF(Company_PC_inputs!M47&lt;&gt;"",Company_PC_inputs!M47,""))</f>
        <v/>
      </c>
      <c r="N47" s="468">
        <f>IF(Ofwat_PC_Interventions!N47&lt;&gt;"",Ofwat_PC_Interventions!N47,IF(Company_PC_inputs!N47&lt;&gt;"",Company_PC_inputs!N47,""))</f>
        <v>-8.9</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f>IF(Ofwat_PC_Interventions!T47&lt;&gt;"",Ofwat_PC_Interventions!T47,IF(Company_PC_inputs!T47&lt;&gt;"",Company_PC_inputs!T47,""))</f>
        <v>3.36</v>
      </c>
      <c r="U47" s="468" t="str">
        <f>IF(Ofwat_PC_Interventions!U47&lt;&gt;"",Ofwat_PC_Interventions!U47,IF(Company_PC_inputs!U47&lt;&gt;"",Company_PC_inputs!U47,""))</f>
        <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0.121</v>
      </c>
      <c r="L49" s="549">
        <f>IF(Ofwat_PC_Interventions!L49&lt;&gt;"",Ofwat_PC_Interventions!L49,IF(Company_PC_inputs!L49&lt;&gt;"",Company_PC_inputs!L49,""))</f>
        <v>0.34599999999999997</v>
      </c>
      <c r="M49" s="549" t="str">
        <f>IF(Ofwat_PC_Interventions!M49&lt;&gt;"",Ofwat_PC_Interventions!M49,IF(Company_PC_inputs!M49&lt;&gt;"",Company_PC_inputs!M49,""))</f>
        <v/>
      </c>
      <c r="N49" s="549" t="str">
        <f>IF(Ofwat_PC_Interventions!N49&lt;&gt;"",Ofwat_PC_Interventions!N49,IF(Company_PC_inputs!N49&lt;&gt;"",Company_PC_inputs!N49,""))</f>
        <v/>
      </c>
      <c r="O49" s="549" t="str">
        <f>IF(Ofwat_PC_Interventions!O49&lt;&gt;"",Ofwat_PC_Interventions!O49,IF(Company_PC_inputs!O49&lt;&gt;"",Company_PC_inputs!O49,""))</f>
        <v/>
      </c>
      <c r="P49" s="549">
        <f>IF(Ofwat_PC_Interventions!P49&lt;&gt;"",Ofwat_PC_Interventions!P49,IF(Company_PC_inputs!P49&lt;&gt;"",Company_PC_inputs!P49,""))</f>
        <v>0</v>
      </c>
      <c r="Q49" s="550" t="str">
        <f>IF(Ofwat_PC_Interventions!Q49&lt;&gt;"",Ofwat_PC_Interventions!Q49,IF(Company_PC_inputs!Q49&lt;&gt;"",Company_PC_inputs!Q49,""))</f>
        <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0.24099999999999999</v>
      </c>
      <c r="U49" s="549" t="str">
        <f>IF(Ofwat_PC_Interventions!U49&lt;&gt;"",Ofwat_PC_Interventions!U49,IF(Company_PC_inputs!U49&lt;&gt;"",Company_PC_inputs!U49,""))</f>
        <v/>
      </c>
      <c r="V49" s="549" t="str">
        <f>IF(Ofwat_PC_Interventions!V49&lt;&gt;"",Ofwat_PC_Interventions!V49,IF(Company_PC_inputs!V49&lt;&gt;"",Company_PC_inputs!V49,""))</f>
        <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-0.17499999999999999</v>
      </c>
      <c r="K50" s="549">
        <f>IF(Ofwat_PC_Interventions!K50&lt;&gt;"",Ofwat_PC_Interventions!K50,IF(Company_PC_inputs!K50&lt;&gt;"",Company_PC_inputs!K50,""))</f>
        <v>-0.121</v>
      </c>
      <c r="L50" s="549">
        <f>IF(Ofwat_PC_Interventions!L50&lt;&gt;"",Ofwat_PC_Interventions!L50,IF(Company_PC_inputs!L50&lt;&gt;"",Company_PC_inputs!L50,""))</f>
        <v>-0.41499999999999998</v>
      </c>
      <c r="M50" s="549" t="str">
        <f>IF(Ofwat_PC_Interventions!M50&lt;&gt;"",Ofwat_PC_Interventions!M50,IF(Company_PC_inputs!M50&lt;&gt;"",Company_PC_inputs!M50,""))</f>
        <v/>
      </c>
      <c r="N50" s="549">
        <f>IF(Ofwat_PC_Interventions!N50&lt;&gt;"",Ofwat_PC_Interventions!N50,IF(Company_PC_inputs!N50&lt;&gt;"",Company_PC_inputs!N50,""))</f>
        <v>-8.7999999999999995E-2</v>
      </c>
      <c r="O50" s="549" t="str">
        <f>IF(Ofwat_PC_Interventions!O50&lt;&gt;"",Ofwat_PC_Interventions!O50,IF(Company_PC_inputs!O50&lt;&gt;"",Company_PC_inputs!O50,""))</f>
        <v/>
      </c>
      <c r="P50" s="549">
        <f>IF(Ofwat_PC_Interventions!P50&lt;&gt;"",Ofwat_PC_Interventions!P50,IF(Company_PC_inputs!P50&lt;&gt;"",Company_PC_inputs!P50,""))</f>
        <v>-2.1999999999999999E-2</v>
      </c>
      <c r="Q50" s="550">
        <f>IF(Ofwat_PC_Interventions!Q50&lt;&gt;"",Ofwat_PC_Interventions!Q50,IF(Company_PC_inputs!Q50&lt;&gt;"",Company_PC_inputs!Q50,""))</f>
        <v>-0.17599999999999999</v>
      </c>
      <c r="R50" s="549">
        <f>IF(Ofwat_PC_Interventions!R50&lt;&gt;"",Ofwat_PC_Interventions!R50,IF(Company_PC_inputs!R50&lt;&gt;"",Company_PC_inputs!R50,""))</f>
        <v>-0.79600000000000004</v>
      </c>
      <c r="S50" s="549">
        <f>IF(Ofwat_PC_Interventions!S50&lt;&gt;"",Ofwat_PC_Interventions!S50,IF(Company_PC_inputs!S50&lt;&gt;"",Company_PC_inputs!S50,""))</f>
        <v>-9.0999999999999993E-6</v>
      </c>
      <c r="T50" s="549">
        <f>IF(Ofwat_PC_Interventions!T50&lt;&gt;"",Ofwat_PC_Interventions!T50,IF(Company_PC_inputs!T50&lt;&gt;"",Company_PC_inputs!T50,""))</f>
        <v>-0.24099999999999999</v>
      </c>
      <c r="U50" s="549">
        <f>IF(Ofwat_PC_Interventions!U50&lt;&gt;"",Ofwat_PC_Interventions!U50,IF(Company_PC_inputs!U50&lt;&gt;"",Company_PC_inputs!U50,""))</f>
        <v>-3.261E-3</v>
      </c>
      <c r="V50" s="549">
        <f>IF(Ofwat_PC_Interventions!V50&lt;&gt;"",Ofwat_PC_Interventions!V50,IF(Company_PC_inputs!V50&lt;&gt;"",Company_PC_inputs!V50,""))</f>
        <v>-1.578E-3</v>
      </c>
      <c r="W50" s="549">
        <f>IF(Ofwat_PC_Interventions!W50&lt;&gt;"",Ofwat_PC_Interventions!W50,IF(Company_PC_inputs!W50&lt;&gt;"",Company_PC_inputs!W50,""))</f>
        <v>-4.2500000000000003E-3</v>
      </c>
      <c r="X50" s="549">
        <f>IF(Ofwat_PC_Interventions!X50&lt;&gt;"",Ofwat_PC_Interventions!X50,IF(Company_PC_inputs!X50&lt;&gt;"",Company_PC_inputs!X50,""))</f>
        <v>-2.8199999999999999E-2</v>
      </c>
      <c r="Y50" s="549">
        <f>IF(Ofwat_PC_Interventions!Y50&lt;&gt;"",Ofwat_PC_Interventions!Y50,IF(Company_PC_inputs!Y50&lt;&gt;"",Company_PC_inputs!Y50,""))</f>
        <v>-6.4000000000000003E-3</v>
      </c>
      <c r="Z50" s="549" t="str">
        <f>IF(Ofwat_PC_Interventions!Z50&lt;&gt;"",Ofwat_PC_Interventions!Z50,IF(Company_PC_inputs!Z50&lt;&gt;"",Company_PC_inputs!Z50,""))</f>
        <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v>
      </c>
      <c r="L56" s="468" t="str">
        <f>IF(Ofwat_PC_Interventions!L56&lt;&gt;"",Ofwat_PC_Interventions!L56,IF(Company_PC_inputs!L56&lt;&gt;"",Company_PC_inputs!L56,""))</f>
        <v>*</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647</v>
      </c>
      <c r="F57" s="431"/>
      <c r="G57" s="431" t="s">
        <v>871</v>
      </c>
      <c r="H57" s="431"/>
      <c r="I57" s="431"/>
      <c r="J57" s="468" t="str">
        <f>IF(Ofwat_PC_Interventions!J57&lt;&gt;"",Ofwat_PC_Interventions!J57,IF(Company_PC_inputs!J57&lt;&gt;"",Company_PC_inputs!J57,""))</f>
        <v/>
      </c>
      <c r="K57" s="468">
        <f>IF(Ofwat_PC_Interventions!K57&lt;&gt;"",Ofwat_PC_Interventions!K57,IF(Company_PC_inputs!K57&lt;&gt;"",Company_PC_inputs!K57,""))</f>
        <v>1.3391203703703704E-2</v>
      </c>
      <c r="L57" s="468">
        <f>IF(Ofwat_PC_Interventions!L57&lt;&gt;"",Ofwat_PC_Interventions!L57,IF(Company_PC_inputs!L57&lt;&gt;"",Company_PC_inputs!L57,""))</f>
        <v>-70.7</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f>IF(Ofwat_PC_Interventions!K59&lt;&gt;"",Ofwat_PC_Interventions!K59,IF(Company_PC_inputs!K59&lt;&gt;"",Company_PC_inputs!K59,""))</f>
        <v>0.36199999999999999</v>
      </c>
      <c r="L59" s="549">
        <f>IF(Ofwat_PC_Interventions!L59&lt;&gt;"",Ofwat_PC_Interventions!L59,IF(Company_PC_inputs!L59&lt;&gt;"",Company_PC_inputs!L59,""))</f>
        <v>0.46300000000000002</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f>IF(Ofwat_PC_Interventions!K60&lt;&gt;"",Ofwat_PC_Interventions!K60,IF(Company_PC_inputs!K60&lt;&gt;"",Company_PC_inputs!K60,""))</f>
        <v>-0.39</v>
      </c>
      <c r="L60" s="549">
        <f>IF(Ofwat_PC_Interventions!L60&lt;&gt;"",Ofwat_PC_Interventions!L60,IF(Company_PC_inputs!L60&lt;&gt;"",Company_PC_inputs!L60,""))</f>
        <v>-0.46300000000000002</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0.34</v>
      </c>
      <c r="X68" s="551">
        <f>IF(Ofwat_PC_Interventions!X68&lt;&gt;"",Ofwat_PC_Interventions!X68,IF(Company_PC_inputs!X68&lt;&gt;"",Company_PC_inputs!X68,""))</f>
        <v>0</v>
      </c>
      <c r="Y68" s="551">
        <f>IF(Ofwat_PC_Interventions!Y68&lt;&gt;"",Ofwat_PC_Interventions!Y68,IF(Company_PC_inputs!Y68&lt;&gt;"",Company_PC_inputs!Y68,""))</f>
        <v>0</v>
      </c>
      <c r="Z68" s="551" t="str">
        <f>IF(Ofwat_PC_Interventions!Z68&lt;&gt;"",Ofwat_PC_Interventions!Z68,IF(Company_PC_inputs!Z68&lt;&gt;"",Company_PC_inputs!Z68,""))</f>
        <v/>
      </c>
      <c r="AA68" s="551" t="str">
        <f>IF(Ofwat_PC_Interventions!AA68&lt;&gt;"",Ofwat_PC_Interventions!AA68,IF(Company_PC_inputs!AA68&lt;&gt;"",Company_PC_inputs!AA68,""))</f>
        <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0</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0.66</v>
      </c>
      <c r="X69" s="551">
        <f>IF(Ofwat_PC_Interventions!X69&lt;&gt;"",Ofwat_PC_Interventions!X69,IF(Company_PC_inputs!X69&lt;&gt;"",Company_PC_inputs!X69,""))</f>
        <v>1</v>
      </c>
      <c r="Y69" s="551">
        <f>IF(Ofwat_PC_Interventions!Y69&lt;&gt;"",Ofwat_PC_Interventions!Y69,IF(Company_PC_inputs!Y69&lt;&gt;"",Company_PC_inputs!Y69,""))</f>
        <v>1</v>
      </c>
      <c r="Z69" s="551" t="str">
        <f>IF(Ofwat_PC_Interventions!Z69&lt;&gt;"",Ofwat_PC_Interventions!Z69,IF(Company_PC_inputs!Z69&lt;&gt;"",Company_PC_inputs!Z69,""))</f>
        <v/>
      </c>
      <c r="AA69" s="551" t="str">
        <f>IF(Ofwat_PC_Interventions!AA69&lt;&gt;"",Ofwat_PC_Interventions!AA69,IF(Company_PC_inputs!AA69&lt;&gt;"",Company_PC_inputs!AA69,""))</f>
        <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t="str">
        <f>IF(Ofwat_PC_Interventions!Z70&lt;&gt;"",Ofwat_PC_Interventions!Z70,IF(Company_PC_inputs!Z70&lt;&gt;"",Company_PC_inputs!Z70,""))</f>
        <v/>
      </c>
      <c r="AA70" s="551" t="str">
        <f>IF(Ofwat_PC_Interventions!AA70&lt;&gt;"",Ofwat_PC_Interventions!AA70,IF(Company_PC_inputs!AA70&lt;&gt;"",Company_PC_inputs!AA70,""))</f>
        <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t="str">
        <f>IF(Ofwat_PC_Interventions!Z71&lt;&gt;"",Ofwat_PC_Interventions!Z71,IF(Company_PC_inputs!Z71&lt;&gt;"",Company_PC_inputs!Z71,""))</f>
        <v/>
      </c>
      <c r="AA71" s="551" t="str">
        <f>IF(Ofwat_PC_Interventions!AA71&lt;&gt;"",Ofwat_PC_Interventions!AA71,IF(Company_PC_inputs!AA71&lt;&gt;"",Company_PC_inputs!AA71,""))</f>
        <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1</v>
      </c>
      <c r="T72" s="551">
        <f>IF(Ofwat_PC_Interventions!T72&lt;&gt;"",Ofwat_PC_Interventions!T72,IF(Company_PC_inputs!T72&lt;&gt;"",Company_PC_inputs!T72,""))</f>
        <v>1</v>
      </c>
      <c r="U72" s="551">
        <f>IF(Ofwat_PC_Interventions!U72&lt;&gt;"",Ofwat_PC_Interventions!U72,IF(Company_PC_inputs!U72&lt;&gt;"",Company_PC_inputs!U72,""))</f>
        <v>1</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t="str">
        <f>IF(Ofwat_PC_Interventions!Z72&lt;&gt;"",Ofwat_PC_Interventions!Z72,IF(Company_PC_inputs!Z72&lt;&gt;"",Company_PC_inputs!Z72,""))</f>
        <v/>
      </c>
      <c r="AA72" s="551" t="str">
        <f>IF(Ofwat_PC_Interventions!AA72&lt;&gt;"",Ofwat_PC_Interventions!AA72,IF(Company_PC_inputs!AA72&lt;&gt;"",Company_PC_inputs!AA72,""))</f>
        <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t="str">
        <f>IF(Ofwat_PC_Interventions!Z73&lt;&gt;"",Ofwat_PC_Interventions!Z73,IF(Company_PC_inputs!Z73&lt;&gt;"",Company_PC_inputs!Z73,""))</f>
        <v/>
      </c>
      <c r="AA73" s="551" t="str">
        <f>IF(Ofwat_PC_Interventions!AA73&lt;&gt;"",Ofwat_PC_Interventions!AA73,IF(Company_PC_inputs!AA73&lt;&gt;"",Company_PC_inputs!AA73,""))</f>
        <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t="str">
        <f>IF(Ofwat_PC_Interventions!Z74&lt;&gt;"",Ofwat_PC_Interventions!Z74,IF(Company_PC_inputs!Z74&lt;&gt;"",Company_PC_inputs!Z74,""))</f>
        <v/>
      </c>
      <c r="AA74" s="551" t="str">
        <f>IF(Ofwat_PC_Interventions!AA74&lt;&gt;"",Ofwat_PC_Interventions!AA74,IF(Company_PC_inputs!AA74&lt;&gt;"",Company_PC_inputs!AA74,""))</f>
        <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activeCell="M32" sqref="M32"/>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SES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PR19SES_A.4</v>
      </c>
      <c r="K5" s="558" t="str">
        <f>IF(InpPerformance!K16&lt;&gt;"",InpPerformance!K16,"")</f>
        <v>PR19SES_A.1</v>
      </c>
      <c r="L5" s="558" t="str">
        <f>IF(InpPerformance!L16&lt;&gt;"",InpPerformance!L16,"")</f>
        <v>PR19SES_C.4</v>
      </c>
      <c r="M5" s="558" t="str">
        <f>IF(InpPerformance!M16&lt;&gt;"",InpPerformance!M16,"")</f>
        <v/>
      </c>
      <c r="N5" s="558" t="str">
        <f>IF(InpPerformance!N16&lt;&gt;"",InpPerformance!N16,"")</f>
        <v>PR19SES_E.1</v>
      </c>
      <c r="O5" s="558" t="str">
        <f>IF(InpPerformance!O16&lt;&gt;"",InpPerformance!O16,"")</f>
        <v/>
      </c>
      <c r="P5" s="558" t="str">
        <f>IF(InpPerformance!P16&lt;&gt;"",InpPerformance!P16,"")</f>
        <v>PR19SES_A.2</v>
      </c>
      <c r="Q5" s="559" t="str">
        <f>IF(InpPerformance!Q16&lt;&gt;"",InpPerformance!Q16,"")</f>
        <v>PR19SES_C.3</v>
      </c>
      <c r="R5" s="558" t="str">
        <f>IF(InpPerformance!R16&lt;&gt;"",InpPerformance!R16,"")</f>
        <v>PR19SES_A.3</v>
      </c>
      <c r="S5" s="558" t="str">
        <f>IF(InpPerformance!S16&lt;&gt;"",InpPerformance!S16,"")</f>
        <v>PR19SES_B.1</v>
      </c>
      <c r="T5" s="558" t="str">
        <f>IF(InpPerformance!T16&lt;&gt;"",InpPerformance!T16,"")</f>
        <v>PR19SES_B.4</v>
      </c>
      <c r="U5" s="558" t="str">
        <f>IF(InpPerformance!U16&lt;&gt;"",InpPerformance!U16,"")</f>
        <v>PR19SES_D.1</v>
      </c>
      <c r="V5" s="558" t="str">
        <f>IF(InpPerformance!V16&lt;&gt;"",InpPerformance!V16,"")</f>
        <v>PR19SES_E.2</v>
      </c>
      <c r="W5" s="558" t="str">
        <f>IF(InpPerformance!W16&lt;&gt;"",InpPerformance!W16,"")</f>
        <v>PR19SES_E.6</v>
      </c>
      <c r="X5" s="558" t="str">
        <f>IF(InpPerformance!X16&lt;&gt;"",InpPerformance!X16,"")</f>
        <v>PR19SES_A.5</v>
      </c>
      <c r="Y5" s="558" t="str">
        <f>IF(InpPerformance!Y16&lt;&gt;"",InpPerformance!Y16,"")</f>
        <v>PR19SES_C.2</v>
      </c>
      <c r="Z5" s="558" t="str">
        <f>IF(InpPerformance!Z16&lt;&gt;"",InpPerformance!Z16,"")</f>
        <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Customer concerns about their water (taste, odour and discolouration contacts)</v>
      </c>
      <c r="S6" s="558" t="str">
        <f>IF(InpPerformance!S17&lt;&gt;"",InpPerformance!S17,"")</f>
        <v>Supporting customers in financial hardship</v>
      </c>
      <c r="T6" s="558" t="str">
        <f>IF(InpPerformance!T17&lt;&gt;"",InpPerformance!T17,"")</f>
        <v>Void properties</v>
      </c>
      <c r="U6" s="558" t="str">
        <f>IF(InpPerformance!U17&lt;&gt;"",InpPerformance!U17,"")</f>
        <v>First contact resolution</v>
      </c>
      <c r="V6" s="558" t="str">
        <f>IF(InpPerformance!V17&lt;&gt;"",InpPerformance!V17,"")</f>
        <v>Greenhouse gas emissions</v>
      </c>
      <c r="W6" s="558" t="str">
        <f>IF(InpPerformance!W17&lt;&gt;"",InpPerformance!W17,"")</f>
        <v>River based improvement - delivery of WINEP</v>
      </c>
      <c r="X6" s="558" t="str">
        <f>IF(InpPerformance!X17&lt;&gt;"",InpPerformance!X17,"")</f>
        <v>Water Softening</v>
      </c>
      <c r="Y6" s="558" t="str">
        <f>IF(InpPerformance!Y17&lt;&gt;"",InpPerformance!Y17,"")</f>
        <v>Risk of supply failures</v>
      </c>
      <c r="Z6" s="558" t="str">
        <f>IF(InpPerformance!Z17&lt;&gt;"",InpPerformance!Z17,"")</f>
        <v/>
      </c>
      <c r="AA6" s="558" t="str">
        <f>IF(InpPerformance!AA17&lt;&gt;"",InpPerformance!AA17,"")</f>
        <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0</v>
      </c>
      <c r="K7" s="562">
        <f>IF(InpPerformance!K7&lt;&gt;"",InpPerformance!K7,"")</f>
        <v>1.8514506564393345E-2</v>
      </c>
      <c r="L7" s="561">
        <f>IF(InpPerformance!L7&lt;&gt;"",InpPerformance!L7,"")</f>
        <v>15.873015873015872</v>
      </c>
      <c r="M7" s="561" t="str">
        <f>IF(InpPerformance!M7&lt;&gt;"",InpPerformance!M7,"")</f>
        <v/>
      </c>
      <c r="N7" s="561">
        <f>IF(InpPerformance!N7&lt;&gt;"",InpPerformance!N7,"")</f>
        <v>0.7382550335570448</v>
      </c>
      <c r="O7" s="561" t="str">
        <f>IF(InpPerformance!O7&lt;&gt;"",InpPerformance!O7,"")</f>
        <v/>
      </c>
      <c r="P7" s="561">
        <f>IF(InpPerformance!P7&lt;&gt;"",InpPerformance!P7,"")</f>
        <v>61.868543535021004</v>
      </c>
      <c r="Q7" s="563">
        <f>IF(InpPerformance!Q7&lt;&gt;"",InpPerformance!Q7,"")</f>
        <v>4.0073679901760126</v>
      </c>
      <c r="R7" s="561">
        <f>IF(InpPerformance!R7&lt;&gt;"",InpPerformance!R7,"")</f>
        <v>0.57999999999999996</v>
      </c>
      <c r="S7" s="561">
        <f>IF(InpPerformance!S7&lt;&gt;"",InpPerformance!S7,"")</f>
        <v>25379</v>
      </c>
      <c r="T7" s="561">
        <f>IF(InpPerformance!T7&lt;&gt;"",InpPerformance!T7,"")</f>
        <v>1.99</v>
      </c>
      <c r="U7" s="561">
        <f>IF(InpPerformance!U7&lt;&gt;"",InpPerformance!U7,"")</f>
        <v>90.68</v>
      </c>
      <c r="V7" s="561">
        <f>IF(InpPerformance!V7&lt;&gt;"",InpPerformance!V7,"")</f>
        <v>38</v>
      </c>
      <c r="W7" s="561">
        <f>IF(InpPerformance!W7&lt;&gt;"",InpPerformance!W7,"")</f>
        <v>17</v>
      </c>
      <c r="X7" s="561">
        <f>IF(InpPerformance!X7&lt;&gt;"",InpPerformance!X7,"")</f>
        <v>10.4</v>
      </c>
      <c r="Y7" s="561">
        <f>IF(InpPerformance!Y7&lt;&gt;"",InpPerformance!Y7,"")</f>
        <v>91</v>
      </c>
      <c r="Z7" s="561" t="str">
        <f>IF(InpPerformance!Z7&lt;&gt;"",InpPerformance!Z7,"")</f>
        <v/>
      </c>
      <c r="AA7" s="561" t="str">
        <f>IF(InpPerformance!AA7&lt;&gt;"",InpPerformance!AA7,"")</f>
        <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v>
      </c>
      <c r="U9" s="564" t="str">
        <f>IF(InpPerformance!U31&lt;&gt;"",InpPerformance!U31,"")</f>
        <v>%</v>
      </c>
      <c r="V9" s="564" t="str">
        <f>IF(InpPerformance!V31&lt;&gt;"",InpPerformance!V31,"")</f>
        <v>nr</v>
      </c>
      <c r="W9" s="564" t="str">
        <f>IF(InpPerformance!W31&lt;&gt;"",InpPerformance!W31,"")</f>
        <v>nr</v>
      </c>
      <c r="X9" s="564" t="str">
        <f>IF(InpPerformance!X31&lt;&gt;"",InpPerformance!X31,"")</f>
        <v>nr</v>
      </c>
      <c r="Y9" s="564" t="str">
        <f>IF(InpPerformance!Y31&lt;&gt;"",InpPerformance!Y31,"")</f>
        <v>%</v>
      </c>
      <c r="Z9" s="564" t="str">
        <f>IF(InpPerformance!Z31&lt;&gt;"",InpPerformance!Z31,"")</f>
        <v/>
      </c>
      <c r="AA9" s="564" t="str">
        <f>IF(InpPerformance!AA31&lt;&gt;"",InpPerformance!AA31,"")</f>
        <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Up</v>
      </c>
      <c r="T10" s="564" t="str">
        <f>IF(InpPerformance!T38&lt;&gt;"",InpPerformance!T38,"")</f>
        <v>Down</v>
      </c>
      <c r="U10" s="564" t="str">
        <f>IF(InpPerformance!U38&lt;&gt;"",InpPerformance!U38,"")</f>
        <v>Up</v>
      </c>
      <c r="V10" s="564" t="str">
        <f>IF(InpPerformance!V38&lt;&gt;"",InpPerformance!V38,"")</f>
        <v>Down</v>
      </c>
      <c r="W10" s="564" t="str">
        <f>IF(InpPerformance!W38&lt;&gt;"",InpPerformance!W38,"")</f>
        <v>Up</v>
      </c>
      <c r="X10" s="564" t="str">
        <f>IF(InpPerformance!X38&lt;&gt;"",InpPerformance!X38,"")</f>
        <v>Down</v>
      </c>
      <c r="Y10" s="564" t="str">
        <f>IF(InpPerformance!Y38&lt;&gt;"",InpPerformance!Y38,"")</f>
        <v>Up</v>
      </c>
      <c r="Z10" s="564" t="str">
        <f>IF(InpPerformance!Z38&lt;&gt;"",InpPerformance!Z38,"")</f>
        <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2</v>
      </c>
      <c r="U11" s="564">
        <f>IF(InpPerformance!U40&lt;&gt;"",InpPerformance!U40,"")</f>
        <v>1</v>
      </c>
      <c r="V11" s="564">
        <f>IF(InpPerformance!V40&lt;&gt;"",InpPerformance!V40,"")</f>
        <v>0</v>
      </c>
      <c r="W11" s="564">
        <f>IF(InpPerformance!W40&lt;&gt;"",InpPerformance!W40,"")</f>
        <v>0</v>
      </c>
      <c r="X11" s="564">
        <f>IF(InpPerformance!X40&lt;&gt;"",InpPerformance!X40,"")</f>
        <v>1</v>
      </c>
      <c r="Y11" s="564">
        <f>IF(InpPerformance!Y40&lt;&gt;"",InpPerformance!Y40,"")</f>
        <v>0</v>
      </c>
      <c r="Z11" s="564" t="str">
        <f>IF(InpPerformance!Z40&lt;&gt;"",InpPerformance!Z40,"")</f>
        <v/>
      </c>
      <c r="AA11" s="564" t="str">
        <f>IF(InpPerformance!AA40&lt;&gt;"",InpPerformance!AA40,"")</f>
        <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1007</v>
      </c>
      <c r="F17" s="431"/>
      <c r="G17" s="431" t="str">
        <f>G7</f>
        <v>Performance commitment unit</v>
      </c>
      <c r="H17" s="431"/>
      <c r="I17" s="431"/>
      <c r="J17" s="566">
        <f>IF(AND(ISNUMBER(J7),J15=FALSE,J16=FALSE),ROUND(J7,J11),J7)</f>
        <v>0</v>
      </c>
      <c r="K17" s="470">
        <f t="shared" ref="K17:BC17" si="2">IF(AND(ISNUMBER(K7),K15=FALSE,K16=FALSE),ROUND(K7,K11),K7)</f>
        <v>1.8514506564393345E-2</v>
      </c>
      <c r="L17" s="470">
        <f t="shared" si="2"/>
        <v>15.873015873015872</v>
      </c>
      <c r="M17" s="470" t="str">
        <f t="shared" si="2"/>
        <v/>
      </c>
      <c r="N17" s="470">
        <f t="shared" si="2"/>
        <v>0.7382550335570448</v>
      </c>
      <c r="O17" s="470" t="str">
        <f t="shared" si="2"/>
        <v/>
      </c>
      <c r="P17" s="470">
        <f t="shared" si="2"/>
        <v>61.9</v>
      </c>
      <c r="Q17" s="471">
        <f t="shared" si="2"/>
        <v>4.01</v>
      </c>
      <c r="R17" s="470">
        <f t="shared" si="2"/>
        <v>0.57999999999999996</v>
      </c>
      <c r="S17" s="470">
        <f t="shared" si="2"/>
        <v>25379</v>
      </c>
      <c r="T17" s="470">
        <f t="shared" si="2"/>
        <v>1.99</v>
      </c>
      <c r="U17" s="470">
        <f t="shared" si="2"/>
        <v>90.7</v>
      </c>
      <c r="V17" s="470">
        <f t="shared" si="2"/>
        <v>38</v>
      </c>
      <c r="W17" s="470">
        <f t="shared" si="2"/>
        <v>17</v>
      </c>
      <c r="X17" s="566">
        <f t="shared" si="2"/>
        <v>10.4</v>
      </c>
      <c r="Y17" s="470">
        <f t="shared" si="2"/>
        <v>91</v>
      </c>
      <c r="Z17" s="470" t="str">
        <f t="shared" si="2"/>
        <v/>
      </c>
      <c r="AA17" s="470" t="str">
        <f t="shared" si="2"/>
        <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7.291666666666667E-4</v>
      </c>
      <c r="L20" s="561">
        <f>IF(InpPerformance!L$43&lt;&gt;"",InpPerformance!L$43,"")</f>
        <v>28.1</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f>IF(InpPerformance!T$43&lt;&gt;"",InpPerformance!T$43,"")</f>
        <v>1.7</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12.4</v>
      </c>
      <c r="M22" s="561" t="str">
        <f>IF(InpPerformance!M$45&lt;&gt;"",InpPerformance!M$45,"")</f>
        <v/>
      </c>
      <c r="N22" s="561">
        <f>IF(InpPerformance!N$45&lt;&gt;"",InpPerformance!N$45,"")</f>
        <v>6.6</v>
      </c>
      <c r="O22" s="561" t="str">
        <f>IF(InpPerformance!O$45&lt;&gt;"",InpPerformance!O$45,"")</f>
        <v/>
      </c>
      <c r="P22" s="561">
        <f>IF(InpPerformance!P$45&lt;&gt;"",InpPerformance!P$45,"")</f>
        <v>59</v>
      </c>
      <c r="Q22" s="563">
        <f>IF(InpPerformance!Q$45&lt;&gt;"",InpPerformance!Q$45,"")</f>
        <v>2.34</v>
      </c>
      <c r="R22" s="561">
        <f>IF(InpPerformance!R$45&lt;&gt;"",InpPerformance!R$45,"")</f>
        <v>0.5</v>
      </c>
      <c r="S22" s="561">
        <f>IF(InpPerformance!S$45&lt;&gt;"",InpPerformance!S$45,"")</f>
        <v>25000</v>
      </c>
      <c r="T22" s="561">
        <f>IF(InpPerformance!T$45&lt;&gt;"",InpPerformance!T$45,"")</f>
        <v>2.2000000000000002</v>
      </c>
      <c r="U22" s="561">
        <f>IF(InpPerformance!U$45&lt;&gt;"",InpPerformance!U$45,"")</f>
        <v>90</v>
      </c>
      <c r="V22" s="561">
        <f>IF(InpPerformance!V$45&lt;&gt;"",InpPerformance!V$45,"")</f>
        <v>55</v>
      </c>
      <c r="W22" s="561">
        <f>IF(InpPerformance!W$45&lt;&gt;"",InpPerformance!W$45,"")</f>
        <v>24</v>
      </c>
      <c r="X22" s="561">
        <f>IF(InpPerformance!X$45&lt;&gt;"",InpPerformance!X$45,"")</f>
        <v>0</v>
      </c>
      <c r="Y22" s="561">
        <f>IF(InpPerformance!Y$45&lt;&gt;"",InpPerformance!Y$45,"")</f>
        <v>100</v>
      </c>
      <c r="Z22" s="561" t="str">
        <f>IF(InpPerformance!Z$45&lt;&gt;"",InpPerformance!Z$45,"")</f>
        <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1.1793981481481482E-2</v>
      </c>
      <c r="L24" s="561">
        <f>IF(InpPerformance!L$47&lt;&gt;"",InpPerformance!L$47,"")</f>
        <v>-50</v>
      </c>
      <c r="M24" s="561" t="str">
        <f>IF(InpPerformance!M$47&lt;&gt;"",InpPerformance!M$47,"")</f>
        <v/>
      </c>
      <c r="N24" s="561">
        <f>IF(InpPerformance!N$47&lt;&gt;"",InpPerformance!N$47,"")</f>
        <v>-8.9</v>
      </c>
      <c r="O24" s="561" t="str">
        <f>IF(InpPerformance!O$47&lt;&gt;"",InpPerformance!O$47,"")</f>
        <v/>
      </c>
      <c r="P24" s="561" t="str">
        <f>IF(InpPerformance!P$47&lt;&gt;"",InpPerformance!P$47,"")</f>
        <v/>
      </c>
      <c r="Q24" s="563">
        <f>IF(InpPerformance!Q$47&lt;&gt;"",InpPerformance!Q$47,"")</f>
        <v>4.68</v>
      </c>
      <c r="R24" s="561" t="str">
        <f>IF(InpPerformance!R$47&lt;&gt;"",InpPerformance!R$47,"")</f>
        <v/>
      </c>
      <c r="S24" s="561" t="str">
        <f>IF(InpPerformance!S$47&lt;&gt;"",InpPerformance!S$47,"")</f>
        <v/>
      </c>
      <c r="T24" s="561">
        <f>IF(InpPerformance!T$47&lt;&gt;"",InpPerformance!T$47,"")</f>
        <v>3.36</v>
      </c>
      <c r="U24" s="561" t="str">
        <f>IF(InpPerformance!U$47&lt;&gt;"",InpPerformance!U$47,"")</f>
        <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0.121</v>
      </c>
      <c r="L26" s="569">
        <f>IF(InpPerformance!L$49&lt;&gt;"",InpPerformance!L$49,"")</f>
        <v>0.34599999999999997</v>
      </c>
      <c r="M26" s="569" t="str">
        <f>IF(InpPerformance!M$49&lt;&gt;"",InpPerformance!M$49,"")</f>
        <v/>
      </c>
      <c r="N26" s="569" t="str">
        <f>IF(InpPerformance!N$49&lt;&gt;"",InpPerformance!N$49,"")</f>
        <v/>
      </c>
      <c r="O26" s="569" t="str">
        <f>IF(InpPerformance!O$49&lt;&gt;"",InpPerformance!O$49,"")</f>
        <v/>
      </c>
      <c r="P26" s="569">
        <f>IF(InpPerformance!P$49&lt;&gt;"",InpPerformance!P$49,"")</f>
        <v>0</v>
      </c>
      <c r="Q26" s="570" t="str">
        <f>IF(InpPerformance!Q$49&lt;&gt;"",InpPerformance!Q$49,"")</f>
        <v/>
      </c>
      <c r="R26" s="569" t="str">
        <f>IF(InpPerformance!R$49&lt;&gt;"",InpPerformance!R$49,"")</f>
        <v/>
      </c>
      <c r="S26" s="569" t="str">
        <f>IF(InpPerformance!S$49&lt;&gt;"",InpPerformance!S$49,"")</f>
        <v/>
      </c>
      <c r="T26" s="569">
        <f>IF(InpPerformance!T$49&lt;&gt;"",InpPerformance!T$49,"")</f>
        <v>0.24099999999999999</v>
      </c>
      <c r="U26" s="569" t="str">
        <f>IF(InpPerformance!U$49&lt;&gt;"",InpPerformance!U$49,"")</f>
        <v/>
      </c>
      <c r="V26" s="569" t="str">
        <f>IF(InpPerformance!V$49&lt;&gt;"",InpPerformance!V$49,"")</f>
        <v/>
      </c>
      <c r="W26" s="569" t="str">
        <f>IF(InpPerformance!W$49&lt;&gt;"",InpPerformance!W$49,"")</f>
        <v/>
      </c>
      <c r="X26" s="569" t="str">
        <f>IF(InpPerformance!X$49&lt;&gt;"",InpPerformance!X$49,"")</f>
        <v/>
      </c>
      <c r="Y26" s="569" t="str">
        <f>IF(InpPerformance!Y$49&lt;&gt;"",InpPerformance!Y$49,"")</f>
        <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-0.17499999999999999</v>
      </c>
      <c r="K27" s="569">
        <f>IF(InpPerformance!K$50&lt;&gt;"",InpPerformance!K$50,"")</f>
        <v>-0.121</v>
      </c>
      <c r="L27" s="569">
        <f>IF(InpPerformance!L$50&lt;&gt;"",InpPerformance!L$50,"")</f>
        <v>-0.41499999999999998</v>
      </c>
      <c r="M27" s="569" t="str">
        <f>IF(InpPerformance!M$50&lt;&gt;"",InpPerformance!M$50,"")</f>
        <v/>
      </c>
      <c r="N27" s="569">
        <f>IF(InpPerformance!N$50&lt;&gt;"",InpPerformance!N$50,"")</f>
        <v>-8.7999999999999995E-2</v>
      </c>
      <c r="O27" s="569" t="str">
        <f>IF(InpPerformance!O$50&lt;&gt;"",InpPerformance!O$50,"")</f>
        <v/>
      </c>
      <c r="P27" s="569">
        <f>IF(InpPerformance!P$50&lt;&gt;"",InpPerformance!P$50,"")</f>
        <v>-2.1999999999999999E-2</v>
      </c>
      <c r="Q27" s="570">
        <f>IF(InpPerformance!Q$50&lt;&gt;"",InpPerformance!Q$50,"")</f>
        <v>-0.17599999999999999</v>
      </c>
      <c r="R27" s="569">
        <f>IF(InpPerformance!R$50&lt;&gt;"",InpPerformance!R$50,"")</f>
        <v>-0.79600000000000004</v>
      </c>
      <c r="S27" s="569">
        <f>IF(InpPerformance!S$50&lt;&gt;"",InpPerformance!S$50,"")</f>
        <v>-9.0999999999999993E-6</v>
      </c>
      <c r="T27" s="569">
        <f>IF(InpPerformance!T$50&lt;&gt;"",InpPerformance!T$50,"")</f>
        <v>-0.24099999999999999</v>
      </c>
      <c r="U27" s="569">
        <f>IF(InpPerformance!U$50&lt;&gt;"",InpPerformance!U$50,"")</f>
        <v>-3.261E-3</v>
      </c>
      <c r="V27" s="569">
        <f>IF(InpPerformance!V$50&lt;&gt;"",InpPerformance!V$50,"")</f>
        <v>-1.578E-3</v>
      </c>
      <c r="W27" s="569">
        <f>IF(InpPerformance!W$50&lt;&gt;"",InpPerformance!W$50,"")</f>
        <v>-4.2500000000000003E-3</v>
      </c>
      <c r="X27" s="569">
        <f>IF(InpPerformance!X$50&lt;&gt;"",InpPerformance!X$50,"")</f>
        <v>-2.8199999999999999E-2</v>
      </c>
      <c r="Y27" s="569">
        <f>IF(InpPerformance!Y$50&lt;&gt;"",InpPerformance!Y$50,"")</f>
        <v>-6.4000000000000003E-3</v>
      </c>
      <c r="Z27" s="569" t="str">
        <f>IF(InpPerformance!Z$50&lt;&gt;"",InpPerformance!Z$50,"")</f>
        <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0</v>
      </c>
      <c r="O30" s="501" t="b">
        <f>IF(O26&lt;&gt;"",TRUE,FALSE)</f>
        <v>0</v>
      </c>
      <c r="P30" s="501" t="b">
        <f t="shared" si="4"/>
        <v>1</v>
      </c>
      <c r="Q30" s="502" t="b">
        <f t="shared" si="4"/>
        <v>0</v>
      </c>
      <c r="R30" s="501" t="b">
        <f t="shared" si="4"/>
        <v>0</v>
      </c>
      <c r="S30" s="501" t="b">
        <f t="shared" si="4"/>
        <v>0</v>
      </c>
      <c r="T30" s="501" t="b">
        <f t="shared" si="4"/>
        <v>1</v>
      </c>
      <c r="U30" s="501" t="b">
        <f t="shared" si="4"/>
        <v>0</v>
      </c>
      <c r="V30" s="501" t="b">
        <f t="shared" si="4"/>
        <v>0</v>
      </c>
      <c r="W30" s="501" t="b">
        <f t="shared" si="4"/>
        <v>0</v>
      </c>
      <c r="X30" s="501" t="b">
        <f t="shared" si="4"/>
        <v>0</v>
      </c>
      <c r="Y30" s="501" t="b">
        <f t="shared" si="4"/>
        <v>0</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1</v>
      </c>
      <c r="M31" s="489" t="b">
        <f t="shared" si="5"/>
        <v>0</v>
      </c>
      <c r="N31" s="489" t="b">
        <f t="shared" si="5"/>
        <v>0</v>
      </c>
      <c r="O31" s="489" t="b">
        <f t="shared" si="5"/>
        <v>0</v>
      </c>
      <c r="P31" s="489" t="b">
        <f t="shared" si="5"/>
        <v>0</v>
      </c>
      <c r="Q31" s="490" t="b">
        <f t="shared" si="5"/>
        <v>0</v>
      </c>
      <c r="R31" s="489" t="b">
        <f t="shared" si="5"/>
        <v>0</v>
      </c>
      <c r="S31" s="489" t="b">
        <f t="shared" si="5"/>
        <v>0</v>
      </c>
      <c r="T31" s="489" t="b">
        <f t="shared" si="5"/>
        <v>1</v>
      </c>
      <c r="U31" s="489" t="b">
        <f t="shared" si="5"/>
        <v>0</v>
      </c>
      <c r="V31" s="489" t="b">
        <f t="shared" si="5"/>
        <v>0</v>
      </c>
      <c r="W31" s="489" t="b">
        <f t="shared" si="5"/>
        <v>0</v>
      </c>
      <c r="X31" s="489" t="b">
        <f t="shared" si="5"/>
        <v>0</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1</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0</v>
      </c>
      <c r="T32" s="489" t="b">
        <f t="shared" si="7"/>
        <v>1</v>
      </c>
      <c r="U32" s="489" t="b">
        <f t="shared" si="7"/>
        <v>0</v>
      </c>
      <c r="V32" s="489" t="b">
        <f t="shared" si="7"/>
        <v>0</v>
      </c>
      <c r="W32" s="489" t="b">
        <f t="shared" si="7"/>
        <v>0</v>
      </c>
      <c r="X32" s="489" t="b">
        <f t="shared" si="7"/>
        <v>0</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f t="shared" si="8"/>
        <v>15.873015873015872</v>
      </c>
      <c r="M33" s="470" t="str">
        <f>IF(M32=TRUE,IF(M$14&gt;0,MIN(M$17,M20),MAX(M$17,M20)),"")</f>
        <v/>
      </c>
      <c r="N33" s="470" t="str">
        <f t="shared" si="8"/>
        <v/>
      </c>
      <c r="O33" s="470" t="str">
        <f>IF(O32=TRUE,IF(O$14&gt;0,MIN(O$17,O20),MAX(O$17,O20)),"")</f>
        <v/>
      </c>
      <c r="P33" s="470" t="str">
        <f t="shared" si="8"/>
        <v/>
      </c>
      <c r="Q33" s="471" t="str">
        <f t="shared" si="8"/>
        <v/>
      </c>
      <c r="R33" s="470" t="str">
        <f t="shared" si="8"/>
        <v/>
      </c>
      <c r="S33" s="470" t="str">
        <f t="shared" si="8"/>
        <v/>
      </c>
      <c r="T33" s="470">
        <f t="shared" si="8"/>
        <v>1.99</v>
      </c>
      <c r="U33" s="470" t="str">
        <f t="shared" si="8"/>
        <v/>
      </c>
      <c r="V33" s="470" t="str">
        <f t="shared" si="8"/>
        <v/>
      </c>
      <c r="W33" s="470" t="str">
        <f t="shared" si="8"/>
        <v/>
      </c>
      <c r="X33" s="470" t="str">
        <f t="shared" si="8"/>
        <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f t="shared" si="9"/>
        <v>3.4730158730158713</v>
      </c>
      <c r="M34" s="470" t="str">
        <f>IF(M32=TRUE,ABS(IF(M21&lt;&gt;"",M21,M22)-M33),"")</f>
        <v/>
      </c>
      <c r="N34" s="470" t="str">
        <f t="shared" si="9"/>
        <v/>
      </c>
      <c r="O34" s="470" t="str">
        <f>IF(O32=TRUE,ABS(IF(O21&lt;&gt;"",O21,O22)-O33),"")</f>
        <v/>
      </c>
      <c r="P34" s="470" t="str">
        <f t="shared" si="9"/>
        <v/>
      </c>
      <c r="Q34" s="471" t="str">
        <f t="shared" si="9"/>
        <v/>
      </c>
      <c r="R34" s="470" t="str">
        <f t="shared" si="9"/>
        <v/>
      </c>
      <c r="S34" s="470" t="str">
        <f t="shared" si="9"/>
        <v/>
      </c>
      <c r="T34" s="470">
        <f t="shared" si="9"/>
        <v>0.21000000000000019</v>
      </c>
      <c r="U34" s="470" t="str">
        <f t="shared" si="9"/>
        <v/>
      </c>
      <c r="V34" s="470" t="str">
        <f t="shared" si="9"/>
        <v/>
      </c>
      <c r="W34" s="470" t="str">
        <f t="shared" si="9"/>
        <v/>
      </c>
      <c r="X34" s="470" t="str">
        <f t="shared" si="9"/>
        <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1014</v>
      </c>
      <c r="F38" s="431"/>
      <c r="G38" s="431" t="s">
        <v>871</v>
      </c>
      <c r="H38" s="431"/>
      <c r="I38" s="431"/>
      <c r="J38" s="573" t="str">
        <f>IF(AND(J37=TRUE,J32=TRUE),J34*24*60,J34)</f>
        <v/>
      </c>
      <c r="K38" s="573" t="str">
        <f t="shared" ref="K38:BS38" si="10">IF(AND(K37=TRUE,K32=TRUE),K34*24*60,K34)</f>
        <v/>
      </c>
      <c r="L38" s="573">
        <f t="shared" si="10"/>
        <v>3.4730158730158713</v>
      </c>
      <c r="M38" s="573" t="str">
        <f>IF(AND(M37=TRUE,M32=TRUE),M34*24*60,M34)</f>
        <v/>
      </c>
      <c r="N38" s="573" t="str">
        <f t="shared" si="10"/>
        <v/>
      </c>
      <c r="O38" s="573" t="str">
        <f>IF(AND(O37=TRUE,O32=TRUE),O34*24*60,O34)</f>
        <v/>
      </c>
      <c r="P38" s="573" t="str">
        <f t="shared" si="10"/>
        <v/>
      </c>
      <c r="Q38" s="574" t="str">
        <f t="shared" si="10"/>
        <v/>
      </c>
      <c r="R38" s="573" t="str">
        <f t="shared" si="10"/>
        <v/>
      </c>
      <c r="S38" s="573" t="str">
        <f t="shared" si="10"/>
        <v/>
      </c>
      <c r="T38" s="573">
        <f t="shared" si="10"/>
        <v>0.21000000000000019</v>
      </c>
      <c r="U38" s="573" t="str">
        <f t="shared" si="10"/>
        <v/>
      </c>
      <c r="V38" s="573" t="str">
        <f t="shared" si="10"/>
        <v/>
      </c>
      <c r="W38" s="573" t="str">
        <f t="shared" si="10"/>
        <v/>
      </c>
      <c r="X38" s="573" t="str">
        <f t="shared" si="10"/>
        <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25.2</v>
      </c>
      <c r="M40" s="561" t="str">
        <f>IF(InpPerformance!M$8&lt;&gt;"",ROUND(InpPerformance!M$8,1),"")</f>
        <v/>
      </c>
      <c r="N40" s="561">
        <f>IF(InpPerformance!N$8&lt;&gt;"",ROUND(InpPerformance!N$8,1),"")</f>
        <v>149</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f>IF(AND(L39=TRUE,L32=TRUE),ROUND((L38/100)*L40,1),L38)</f>
        <v>0.9</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t="str">
        <f t="shared" si="11"/>
        <v/>
      </c>
      <c r="T41" s="573">
        <f t="shared" si="11"/>
        <v>0.21000000000000019</v>
      </c>
      <c r="U41" s="573" t="str">
        <f t="shared" si="11"/>
        <v/>
      </c>
      <c r="V41" s="573" t="str">
        <f t="shared" si="11"/>
        <v/>
      </c>
      <c r="W41" s="573" t="str">
        <f t="shared" si="11"/>
        <v/>
      </c>
      <c r="X41" s="573" t="str">
        <f t="shared" si="11"/>
        <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0.121</v>
      </c>
      <c r="L44" s="569">
        <f>InpPerformance!L49</f>
        <v>0.34599999999999997</v>
      </c>
      <c r="M44" s="569" t="str">
        <f>InpPerformance!M49</f>
        <v/>
      </c>
      <c r="N44" s="569" t="str">
        <f>InpPerformance!N49</f>
        <v/>
      </c>
      <c r="O44" s="569" t="str">
        <f>InpPerformance!O49</f>
        <v/>
      </c>
      <c r="P44" s="569">
        <f>InpPerformance!P49</f>
        <v>0</v>
      </c>
      <c r="Q44" s="570" t="str">
        <f>InpPerformance!Q49</f>
        <v/>
      </c>
      <c r="R44" s="569" t="str">
        <f>InpPerformance!R49</f>
        <v/>
      </c>
      <c r="S44" s="569" t="str">
        <f>InpPerformance!S49</f>
        <v/>
      </c>
      <c r="T44" s="569">
        <f>InpPerformance!T49</f>
        <v>0.24099999999999999</v>
      </c>
      <c r="U44" s="569" t="str">
        <f>InpPerformance!U49</f>
        <v/>
      </c>
      <c r="V44" s="569" t="str">
        <f>InpPerformance!V49</f>
        <v/>
      </c>
      <c r="W44" s="569" t="str">
        <f>InpPerformance!W49</f>
        <v/>
      </c>
      <c r="X44" s="569" t="str">
        <f>InpPerformance!X49</f>
        <v/>
      </c>
      <c r="Y44" s="569" t="str">
        <f>InpPerformance!Y49</f>
        <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0.31140000000000001</v>
      </c>
      <c r="M45" s="549">
        <f>IF(M32=TRUE,M41*M44,0)</f>
        <v>0</v>
      </c>
      <c r="N45" s="549">
        <f t="shared" si="12"/>
        <v>0</v>
      </c>
      <c r="O45" s="549">
        <f>IF(O32=TRUE,O41*O44,0)</f>
        <v>0</v>
      </c>
      <c r="P45" s="549">
        <f t="shared" si="12"/>
        <v>0</v>
      </c>
      <c r="Q45" s="550">
        <f t="shared" si="12"/>
        <v>0</v>
      </c>
      <c r="R45" s="549">
        <f t="shared" si="12"/>
        <v>0</v>
      </c>
      <c r="S45" s="549">
        <f t="shared" si="12"/>
        <v>0</v>
      </c>
      <c r="T45" s="549">
        <f t="shared" si="12"/>
        <v>5.0610000000000044E-2</v>
      </c>
      <c r="U45" s="549">
        <f t="shared" si="12"/>
        <v>0</v>
      </c>
      <c r="V45" s="549">
        <f t="shared" si="12"/>
        <v>0</v>
      </c>
      <c r="W45" s="549">
        <f t="shared" si="12"/>
        <v>0</v>
      </c>
      <c r="X45" s="549">
        <f t="shared" si="12"/>
        <v>0</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0</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1020</v>
      </c>
      <c r="F49" s="431"/>
      <c r="G49" s="431" t="s">
        <v>244</v>
      </c>
      <c r="H49" s="431"/>
      <c r="I49" s="431"/>
      <c r="J49" s="493" t="b">
        <f>IF(J48=TRUE,IF(((J$17-J$22)*J$14)&lt;0,TRUE,FALSE),FALSE)</f>
        <v>0</v>
      </c>
      <c r="K49" s="472" t="b">
        <f t="shared" ref="K49:BC49" si="14">IF(K48=TRUE,IF(((K$17-K$22)*K$14)&lt;0,TRUE,FALSE),FALSE)</f>
        <v>1</v>
      </c>
      <c r="L49" s="472" t="b">
        <f t="shared" si="14"/>
        <v>0</v>
      </c>
      <c r="M49" s="472" t="b">
        <f t="shared" si="14"/>
        <v>0</v>
      </c>
      <c r="N49" s="472" t="b">
        <f t="shared" si="14"/>
        <v>1</v>
      </c>
      <c r="O49" s="472" t="b">
        <f t="shared" si="14"/>
        <v>0</v>
      </c>
      <c r="P49" s="472" t="b">
        <f t="shared" si="14"/>
        <v>1</v>
      </c>
      <c r="Q49" s="474" t="b">
        <f t="shared" si="14"/>
        <v>1</v>
      </c>
      <c r="R49" s="472" t="b">
        <f t="shared" si="14"/>
        <v>1</v>
      </c>
      <c r="S49" s="472" t="b">
        <f t="shared" si="14"/>
        <v>0</v>
      </c>
      <c r="T49" s="472" t="b">
        <f t="shared" si="14"/>
        <v>0</v>
      </c>
      <c r="U49" s="472" t="b">
        <f t="shared" si="14"/>
        <v>0</v>
      </c>
      <c r="V49" s="472" t="b">
        <f t="shared" si="14"/>
        <v>0</v>
      </c>
      <c r="W49" s="472" t="b">
        <f t="shared" si="14"/>
        <v>1</v>
      </c>
      <c r="X49" s="473" t="b">
        <f t="shared" si="14"/>
        <v>1</v>
      </c>
      <c r="Y49" s="472" t="b">
        <f t="shared" si="14"/>
        <v>1</v>
      </c>
      <c r="Z49" s="472" t="b">
        <f t="shared" si="14"/>
        <v>0</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1021</v>
      </c>
      <c r="F50" s="431"/>
      <c r="G50" s="431" t="s">
        <v>244</v>
      </c>
      <c r="H50" s="431"/>
      <c r="I50" s="431"/>
      <c r="J50" s="493" t="b">
        <f>IF(J49=TRUE,IF(J23="",TRUE,ABS(J$17-J$22)&gt;ABS(J23-J22)),FALSE)</f>
        <v>0</v>
      </c>
      <c r="K50" s="472" t="b">
        <f t="shared" ref="K50:BS50" si="16">IF(K49=TRUE,IF(K23="",TRUE,ABS(K$17-K$22)&gt;ABS(K23-K22)),FALSE)</f>
        <v>1</v>
      </c>
      <c r="L50" s="472" t="b">
        <f t="shared" si="16"/>
        <v>0</v>
      </c>
      <c r="M50" s="472" t="b">
        <f>IF(M49=TRUE,IF(M23="",TRUE,ABS(M$17-M$22)&gt;ABS(M23-M22)),FALSE)</f>
        <v>0</v>
      </c>
      <c r="N50" s="472" t="b">
        <f t="shared" si="16"/>
        <v>1</v>
      </c>
      <c r="O50" s="472" t="b">
        <f>IF(O49=TRUE,IF(O23="",TRUE,ABS(O$17-O$22)&gt;ABS(O23-O22)),FALSE)</f>
        <v>0</v>
      </c>
      <c r="P50" s="472" t="b">
        <f t="shared" si="16"/>
        <v>1</v>
      </c>
      <c r="Q50" s="474" t="b">
        <f t="shared" si="16"/>
        <v>1</v>
      </c>
      <c r="R50" s="472" t="b">
        <f t="shared" si="16"/>
        <v>1</v>
      </c>
      <c r="S50" s="472" t="b">
        <f t="shared" si="16"/>
        <v>0</v>
      </c>
      <c r="T50" s="472" t="b">
        <f t="shared" si="16"/>
        <v>0</v>
      </c>
      <c r="U50" s="472" t="b">
        <f t="shared" si="16"/>
        <v>0</v>
      </c>
      <c r="V50" s="472" t="b">
        <f t="shared" si="16"/>
        <v>0</v>
      </c>
      <c r="W50" s="472" t="b">
        <f t="shared" si="16"/>
        <v>1</v>
      </c>
      <c r="X50" s="472" t="b">
        <f t="shared" si="16"/>
        <v>1</v>
      </c>
      <c r="Y50" s="472" t="b">
        <f t="shared" si="16"/>
        <v>1</v>
      </c>
      <c r="Z50" s="472" t="b">
        <f t="shared" si="16"/>
        <v>0</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1022</v>
      </c>
      <c r="F51" s="431"/>
      <c r="G51" s="431" t="str">
        <f>G7</f>
        <v>Performance commitment unit</v>
      </c>
      <c r="H51" s="431"/>
      <c r="I51" s="431"/>
      <c r="J51" s="470" t="str">
        <f t="shared" ref="J51:O51" si="17">IF(J50=TRUE,IF(J14&gt;0,MAX(J17,J24),MIN(J17,J24)),"")</f>
        <v/>
      </c>
      <c r="K51" s="470">
        <f t="shared" si="17"/>
        <v>1.1793981481481482E-2</v>
      </c>
      <c r="L51" s="470" t="str">
        <f t="shared" si="17"/>
        <v/>
      </c>
      <c r="M51" s="470" t="str">
        <f t="shared" si="17"/>
        <v/>
      </c>
      <c r="N51" s="470">
        <f t="shared" si="17"/>
        <v>0.7382550335570448</v>
      </c>
      <c r="O51" s="470" t="str">
        <f t="shared" si="17"/>
        <v/>
      </c>
      <c r="P51" s="470">
        <f t="shared" ref="P51:BS51" si="18">IF(P50=TRUE,IF(P14&gt;0,MAX(P17,P24),MIN(P17,P24)),"")</f>
        <v>61.9</v>
      </c>
      <c r="Q51" s="471">
        <f t="shared" si="18"/>
        <v>4.01</v>
      </c>
      <c r="R51" s="470">
        <f t="shared" si="18"/>
        <v>0.57999999999999996</v>
      </c>
      <c r="S51" s="470" t="str">
        <f t="shared" si="18"/>
        <v/>
      </c>
      <c r="T51" s="470" t="str">
        <f t="shared" si="18"/>
        <v/>
      </c>
      <c r="U51" s="470" t="str">
        <f t="shared" si="18"/>
        <v/>
      </c>
      <c r="V51" s="470" t="str">
        <f t="shared" si="18"/>
        <v/>
      </c>
      <c r="W51" s="470">
        <f t="shared" si="18"/>
        <v>17</v>
      </c>
      <c r="X51" s="470">
        <f t="shared" si="18"/>
        <v>10.4</v>
      </c>
      <c r="Y51" s="470">
        <f t="shared" si="18"/>
        <v>91</v>
      </c>
      <c r="Z51" s="470" t="str">
        <f t="shared" si="18"/>
        <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1023</v>
      </c>
      <c r="F52" s="431"/>
      <c r="G52" s="431" t="str">
        <f>G7</f>
        <v>Performance commitment unit</v>
      </c>
      <c r="H52" s="431"/>
      <c r="I52" s="431"/>
      <c r="J52" s="470" t="str">
        <f>IF(J50=TRUE,ABS(IF(J23&lt;&gt;"",J23,J22)-J51),"")</f>
        <v/>
      </c>
      <c r="K52" s="470">
        <f t="shared" ref="K52:BS52" si="19">IF(K50=TRUE,ABS(IF(K23&lt;&gt;"",K23,K22)-K51),"")</f>
        <v>8.3217592592592596E-3</v>
      </c>
      <c r="L52" s="470" t="str">
        <f t="shared" si="19"/>
        <v/>
      </c>
      <c r="M52" s="470" t="str">
        <f>IF(M50=TRUE,ABS(IF(M23&lt;&gt;"",M23,M22)-M51),"")</f>
        <v/>
      </c>
      <c r="N52" s="470">
        <f t="shared" si="19"/>
        <v>5.8617449664429548</v>
      </c>
      <c r="O52" s="470" t="str">
        <f>IF(O50=TRUE,ABS(IF(O23&lt;&gt;"",O23,O22)-O51),"")</f>
        <v/>
      </c>
      <c r="P52" s="470">
        <f t="shared" si="19"/>
        <v>2.8999999999999986</v>
      </c>
      <c r="Q52" s="471">
        <f t="shared" si="19"/>
        <v>1.67</v>
      </c>
      <c r="R52" s="470">
        <f t="shared" si="19"/>
        <v>7.999999999999996E-2</v>
      </c>
      <c r="S52" s="470" t="str">
        <f t="shared" si="19"/>
        <v/>
      </c>
      <c r="T52" s="470" t="str">
        <f t="shared" si="19"/>
        <v/>
      </c>
      <c r="U52" s="470" t="str">
        <f t="shared" si="19"/>
        <v/>
      </c>
      <c r="V52" s="470" t="str">
        <f t="shared" si="19"/>
        <v/>
      </c>
      <c r="W52" s="470">
        <f t="shared" si="19"/>
        <v>7</v>
      </c>
      <c r="X52" s="470">
        <f t="shared" si="19"/>
        <v>10.4</v>
      </c>
      <c r="Y52" s="470">
        <f t="shared" si="19"/>
        <v>9</v>
      </c>
      <c r="Z52" s="470" t="str">
        <f t="shared" si="19"/>
        <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1014</v>
      </c>
      <c r="F56" s="431"/>
      <c r="G56" s="431" t="s">
        <v>871</v>
      </c>
      <c r="H56" s="431"/>
      <c r="I56" s="431"/>
      <c r="J56" s="573" t="str">
        <f>IF(AND(J55=TRUE,J50=TRUE),J52*24*60,J52)</f>
        <v/>
      </c>
      <c r="K56" s="576">
        <f>IF(AND(K55=TRUE,K50=TRUE),K52*24*60,K52)</f>
        <v>11.983333333333334</v>
      </c>
      <c r="L56" s="573" t="str">
        <f t="shared" ref="L56:BS56" si="20">IF(AND(L55=TRUE,L50=TRUE),L52*24*60,L52)</f>
        <v/>
      </c>
      <c r="M56" s="573" t="str">
        <f>IF(AND(M55=TRUE,M50=TRUE),M52*24*60,M52)</f>
        <v/>
      </c>
      <c r="N56" s="573">
        <f t="shared" si="20"/>
        <v>5.8617449664429548</v>
      </c>
      <c r="O56" s="573" t="str">
        <f>IF(AND(O55=TRUE,O50=TRUE),O52*24*60,O52)</f>
        <v/>
      </c>
      <c r="P56" s="573">
        <f t="shared" si="20"/>
        <v>2.8999999999999986</v>
      </c>
      <c r="Q56" s="574">
        <f t="shared" si="20"/>
        <v>1.67</v>
      </c>
      <c r="R56" s="573">
        <f t="shared" si="20"/>
        <v>7.999999999999996E-2</v>
      </c>
      <c r="S56" s="573" t="str">
        <f t="shared" si="20"/>
        <v/>
      </c>
      <c r="T56" s="573" t="str">
        <f t="shared" si="20"/>
        <v/>
      </c>
      <c r="U56" s="573" t="str">
        <f t="shared" si="20"/>
        <v/>
      </c>
      <c r="V56" s="573" t="str">
        <f t="shared" si="20"/>
        <v/>
      </c>
      <c r="W56" s="573">
        <f t="shared" si="20"/>
        <v>7</v>
      </c>
      <c r="X56" s="573">
        <f t="shared" si="20"/>
        <v>10.4</v>
      </c>
      <c r="Y56" s="573">
        <f t="shared" si="20"/>
        <v>9</v>
      </c>
      <c r="Z56" s="573" t="str">
        <f t="shared" si="20"/>
        <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25.2</v>
      </c>
      <c r="M58" s="561" t="str">
        <f>IF(InpPerformance!M$8&lt;&gt;"",ROUND(InpPerformance!M$8,1),"")</f>
        <v/>
      </c>
      <c r="N58" s="561">
        <f>IF(InpPerformance!N$8&lt;&gt;"",ROUND(InpPerformance!N$8,1),"")</f>
        <v>149</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1015</v>
      </c>
      <c r="F59" s="431"/>
      <c r="G59" s="431" t="s">
        <v>871</v>
      </c>
      <c r="H59" s="431"/>
      <c r="I59" s="431"/>
      <c r="J59" s="573" t="str">
        <f>IF(AND(J57=TRUE,J50=TRUE),ROUND((J56/100)*J58,1),J56)</f>
        <v/>
      </c>
      <c r="K59" s="577">
        <f t="shared" ref="K59:BS59" si="21">IF(AND(K57=TRUE,K50=TRUE),ROUND((K56/100)*K58,1),K56)</f>
        <v>11.983333333333334</v>
      </c>
      <c r="L59" s="573" t="str">
        <f>IF(AND(L57=TRUE,L50=TRUE),ROUND((L56/100)*L58,1),L56)</f>
        <v/>
      </c>
      <c r="M59" s="573" t="str">
        <f>IF(AND(M57=TRUE,M50=TRUE),ROUND((M56/100)*M58,1),M56)</f>
        <v/>
      </c>
      <c r="N59" s="573">
        <f t="shared" si="21"/>
        <v>8.6999999999999993</v>
      </c>
      <c r="O59" s="573" t="str">
        <f>IF(AND(O57=TRUE,O50=TRUE),ROUND((O56/100)*O58,1),O56)</f>
        <v/>
      </c>
      <c r="P59" s="573">
        <f t="shared" si="21"/>
        <v>2.8999999999999986</v>
      </c>
      <c r="Q59" s="574">
        <f t="shared" si="21"/>
        <v>1.67</v>
      </c>
      <c r="R59" s="573">
        <f t="shared" si="21"/>
        <v>7.999999999999996E-2</v>
      </c>
      <c r="S59" s="573" t="str">
        <f t="shared" si="21"/>
        <v/>
      </c>
      <c r="T59" s="573" t="str">
        <f t="shared" si="21"/>
        <v/>
      </c>
      <c r="U59" s="573" t="str">
        <f t="shared" si="21"/>
        <v/>
      </c>
      <c r="V59" s="573" t="str">
        <f t="shared" si="21"/>
        <v/>
      </c>
      <c r="W59" s="573">
        <f t="shared" si="21"/>
        <v>7</v>
      </c>
      <c r="X59" s="573">
        <f t="shared" si="21"/>
        <v>10.4</v>
      </c>
      <c r="Y59" s="573">
        <f t="shared" si="21"/>
        <v>9</v>
      </c>
      <c r="Z59" s="573" t="str">
        <f t="shared" si="21"/>
        <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-0.17499999999999999</v>
      </c>
      <c r="K62" s="569">
        <f>InpPerformance!K50</f>
        <v>-0.121</v>
      </c>
      <c r="L62" s="569">
        <f>InpPerformance!L50</f>
        <v>-0.41499999999999998</v>
      </c>
      <c r="M62" s="569" t="str">
        <f>InpPerformance!M50</f>
        <v/>
      </c>
      <c r="N62" s="569">
        <f>InpPerformance!N50</f>
        <v>-8.7999999999999995E-2</v>
      </c>
      <c r="O62" s="569" t="str">
        <f>InpPerformance!O50</f>
        <v/>
      </c>
      <c r="P62" s="569">
        <f>InpPerformance!P50</f>
        <v>-2.1999999999999999E-2</v>
      </c>
      <c r="Q62" s="570">
        <f>InpPerformance!Q50</f>
        <v>-0.17599999999999999</v>
      </c>
      <c r="R62" s="569">
        <f>InpPerformance!R50</f>
        <v>-0.79600000000000004</v>
      </c>
      <c r="S62" s="569">
        <f>InpPerformance!S50</f>
        <v>-9.0999999999999993E-6</v>
      </c>
      <c r="T62" s="569">
        <f>InpPerformance!T50</f>
        <v>-0.24099999999999999</v>
      </c>
      <c r="U62" s="569">
        <f>InpPerformance!U50</f>
        <v>-3.261E-3</v>
      </c>
      <c r="V62" s="569">
        <f>InpPerformance!V50</f>
        <v>-1.578E-3</v>
      </c>
      <c r="W62" s="569">
        <f>InpPerformance!W50</f>
        <v>-4.2500000000000003E-3</v>
      </c>
      <c r="X62" s="569">
        <f>InpPerformance!X50</f>
        <v>-2.8199999999999999E-2</v>
      </c>
      <c r="Y62" s="569">
        <f>InpPerformance!Y50</f>
        <v>-6.4000000000000003E-3</v>
      </c>
      <c r="Z62" s="569" t="str">
        <f>InpPerformance!Z50</f>
        <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1025</v>
      </c>
      <c r="F63" s="431"/>
      <c r="G63" s="575" t="str">
        <f>InpCompany!$F$11</f>
        <v>£m (2017-18 prices)</v>
      </c>
      <c r="H63" s="431"/>
      <c r="I63" s="431"/>
      <c r="J63" s="549">
        <f>IF(J50=TRUE,J59*J62,0)</f>
        <v>0</v>
      </c>
      <c r="K63" s="549">
        <f t="shared" ref="K63:BS63" si="22">IF(K50=TRUE,K59*K62,0)</f>
        <v>-1.4499833333333334</v>
      </c>
      <c r="L63" s="549">
        <f t="shared" si="22"/>
        <v>0</v>
      </c>
      <c r="M63" s="549">
        <f>IF(M50=TRUE,M59*M62,0)</f>
        <v>0</v>
      </c>
      <c r="N63" s="549">
        <f t="shared" si="22"/>
        <v>-0.76559999999999995</v>
      </c>
      <c r="O63" s="549">
        <f>IF(O50=TRUE,O59*O62,0)</f>
        <v>0</v>
      </c>
      <c r="P63" s="549">
        <f t="shared" si="22"/>
        <v>-6.3799999999999968E-2</v>
      </c>
      <c r="Q63" s="550">
        <f t="shared" si="22"/>
        <v>-0.29391999999999996</v>
      </c>
      <c r="R63" s="549">
        <f t="shared" si="22"/>
        <v>-6.3679999999999973E-2</v>
      </c>
      <c r="S63" s="549">
        <f t="shared" si="22"/>
        <v>0</v>
      </c>
      <c r="T63" s="549">
        <f t="shared" si="22"/>
        <v>0</v>
      </c>
      <c r="U63" s="549">
        <f t="shared" si="22"/>
        <v>0</v>
      </c>
      <c r="V63" s="549">
        <f t="shared" si="22"/>
        <v>0</v>
      </c>
      <c r="W63" s="549">
        <f t="shared" si="22"/>
        <v>-2.9750000000000002E-2</v>
      </c>
      <c r="X63" s="549">
        <f t="shared" si="22"/>
        <v>-0.29327999999999999</v>
      </c>
      <c r="Y63" s="549">
        <f t="shared" si="22"/>
        <v>-5.7600000000000005E-2</v>
      </c>
      <c r="Z63" s="549">
        <f t="shared" si="22"/>
        <v>0</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v>
      </c>
      <c r="L69" s="561" t="str">
        <f>IF(InpPerformance!L56&lt;&gt;"",InpPerformance!L56,"")</f>
        <v>*</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7.291666666666667E-4</v>
      </c>
      <c r="L70" s="561">
        <f>IF(InpPerformance!L$43&lt;&gt;"",InpPerformance!L$43,"")</f>
        <v>28.1</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f>IF(InpPerformance!T$43&lt;&gt;"",InpPerformance!T$43,"")</f>
        <v>1.7</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f>IF(InpPerformance!K59&lt;&gt;"",InpPerformance!K59,"")</f>
        <v>0.36199999999999999</v>
      </c>
      <c r="L71" s="581">
        <f>IF(InpPerformance!L59&lt;&gt;"",InpPerformance!L59,"")</f>
        <v>0.46300000000000002</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0</v>
      </c>
      <c r="K73" s="583">
        <f t="shared" ref="K73:BS73" si="24">K$17</f>
        <v>1.8514506564393345E-2</v>
      </c>
      <c r="L73" s="583">
        <f t="shared" si="24"/>
        <v>15.873015873015872</v>
      </c>
      <c r="M73" s="583" t="str">
        <f t="shared" si="24"/>
        <v/>
      </c>
      <c r="N73" s="583">
        <f t="shared" si="24"/>
        <v>0.7382550335570448</v>
      </c>
      <c r="O73" s="583" t="str">
        <f t="shared" si="24"/>
        <v/>
      </c>
      <c r="P73" s="583">
        <f t="shared" si="24"/>
        <v>61.9</v>
      </c>
      <c r="Q73" s="584">
        <f t="shared" si="24"/>
        <v>4.01</v>
      </c>
      <c r="R73" s="583">
        <f t="shared" si="24"/>
        <v>0.57999999999999996</v>
      </c>
      <c r="S73" s="583">
        <f t="shared" si="24"/>
        <v>25379</v>
      </c>
      <c r="T73" s="583">
        <f t="shared" si="24"/>
        <v>1.99</v>
      </c>
      <c r="U73" s="583">
        <f t="shared" si="24"/>
        <v>90.7</v>
      </c>
      <c r="V73" s="583">
        <f t="shared" si="24"/>
        <v>38</v>
      </c>
      <c r="W73" s="583">
        <f t="shared" si="24"/>
        <v>17</v>
      </c>
      <c r="X73" s="583">
        <f t="shared" si="24"/>
        <v>10.4</v>
      </c>
      <c r="Y73" s="583">
        <f t="shared" si="24"/>
        <v>91</v>
      </c>
      <c r="Z73" s="583" t="str">
        <f t="shared" si="24"/>
        <v/>
      </c>
      <c r="AA73" s="583" t="str">
        <f t="shared" si="24"/>
        <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269.78899999999999</v>
      </c>
      <c r="K79" s="561">
        <f>InpCompany!$F17</f>
        <v>269.78899999999999</v>
      </c>
      <c r="L79" s="561">
        <f>InpCompany!$F17</f>
        <v>269.78899999999999</v>
      </c>
      <c r="M79" s="561">
        <f>InpCompany!$F17</f>
        <v>269.78899999999999</v>
      </c>
      <c r="N79" s="561">
        <f>InpCompany!$F17</f>
        <v>269.78899999999999</v>
      </c>
      <c r="O79" s="561">
        <f>InpCompany!$F17</f>
        <v>269.78899999999999</v>
      </c>
      <c r="P79" s="561">
        <f>InpCompany!$F17</f>
        <v>269.78899999999999</v>
      </c>
      <c r="Q79" s="563">
        <f>InpCompany!$F17</f>
        <v>269.78899999999999</v>
      </c>
      <c r="R79" s="561">
        <f>InpCompany!$F17</f>
        <v>269.78899999999999</v>
      </c>
      <c r="S79" s="561">
        <f>InpCompany!$F17</f>
        <v>269.78899999999999</v>
      </c>
      <c r="T79" s="561">
        <f>InpCompany!$F17</f>
        <v>269.78899999999999</v>
      </c>
      <c r="U79" s="561">
        <f>InpCompany!$F17</f>
        <v>269.78899999999999</v>
      </c>
      <c r="V79" s="561">
        <f>InpCompany!$F17</f>
        <v>269.78899999999999</v>
      </c>
      <c r="W79" s="561">
        <f>InpCompany!$F17</f>
        <v>269.78899999999999</v>
      </c>
      <c r="X79" s="561">
        <f>InpCompany!$F17</f>
        <v>269.78899999999999</v>
      </c>
      <c r="Y79" s="561">
        <f>InpCompany!$F17</f>
        <v>269.78899999999999</v>
      </c>
      <c r="Z79" s="561">
        <f>InpCompany!$F17</f>
        <v>269.78899999999999</v>
      </c>
      <c r="AA79" s="561">
        <f>InpCompany!$F17</f>
        <v>269.78899999999999</v>
      </c>
      <c r="AB79" s="561">
        <f>InpCompany!$F17</f>
        <v>269.78899999999999</v>
      </c>
      <c r="AC79" s="561">
        <f>InpCompany!$F17</f>
        <v>269.78899999999999</v>
      </c>
      <c r="AD79" s="561">
        <f>InpCompany!$F17</f>
        <v>269.78899999999999</v>
      </c>
      <c r="AE79" s="561">
        <f>InpCompany!$F17</f>
        <v>269.78899999999999</v>
      </c>
      <c r="AF79" s="561">
        <f>InpCompany!$F17</f>
        <v>269.78899999999999</v>
      </c>
      <c r="AG79" s="561">
        <f>InpCompany!$F17</f>
        <v>269.78899999999999</v>
      </c>
      <c r="AH79" s="561">
        <f>InpCompany!$F17</f>
        <v>269.78899999999999</v>
      </c>
      <c r="AI79" s="561">
        <f>InpCompany!$F17</f>
        <v>269.78899999999999</v>
      </c>
      <c r="AJ79" s="561">
        <f>InpCompany!$F17</f>
        <v>269.78899999999999</v>
      </c>
      <c r="AK79" s="563">
        <f>InpCompany!$F17</f>
        <v>269.78899999999999</v>
      </c>
      <c r="AL79" s="561">
        <f>InpCompany!$F17</f>
        <v>269.78899999999999</v>
      </c>
      <c r="AM79" s="561">
        <f>InpCompany!$F17</f>
        <v>269.78899999999999</v>
      </c>
      <c r="AN79" s="561">
        <f>InpCompany!$F17</f>
        <v>269.78899999999999</v>
      </c>
      <c r="AO79" s="563">
        <f>InpCompany!$F17</f>
        <v>269.78899999999999</v>
      </c>
      <c r="AP79" s="561">
        <f>InpCompany!$F17</f>
        <v>269.78899999999999</v>
      </c>
      <c r="AQ79" s="561">
        <f>InpCompany!$F17</f>
        <v>269.78899999999999</v>
      </c>
      <c r="AR79" s="561">
        <f>InpCompany!$F17</f>
        <v>269.78899999999999</v>
      </c>
      <c r="AS79" s="561">
        <f>InpCompany!$F17</f>
        <v>269.78899999999999</v>
      </c>
      <c r="AT79" s="561">
        <f>InpCompany!$F17</f>
        <v>269.78899999999999</v>
      </c>
      <c r="AU79" s="561">
        <f>InpCompany!$F17</f>
        <v>269.78899999999999</v>
      </c>
      <c r="AV79" s="561">
        <f>InpCompany!$F17</f>
        <v>269.78899999999999</v>
      </c>
      <c r="AW79" s="561">
        <f>InpCompany!$F17</f>
        <v>269.78899999999999</v>
      </c>
      <c r="AX79" s="561">
        <f>InpCompany!$F17</f>
        <v>269.78899999999999</v>
      </c>
      <c r="AY79" s="561">
        <f>InpCompany!$F17</f>
        <v>269.78899999999999</v>
      </c>
      <c r="AZ79" s="561">
        <f>InpCompany!$F17</f>
        <v>269.78899999999999</v>
      </c>
      <c r="BA79" s="561">
        <f>InpCompany!$F17</f>
        <v>269.78899999999999</v>
      </c>
      <c r="BB79" s="561">
        <f>InpCompany!$F17</f>
        <v>269.78899999999999</v>
      </c>
      <c r="BC79" s="563">
        <f>InpCompany!$F17</f>
        <v>269.78899999999999</v>
      </c>
      <c r="BD79" s="561">
        <f>InpCompany!$F17</f>
        <v>269.78899999999999</v>
      </c>
      <c r="BE79" s="561">
        <f>InpCompany!$F17</f>
        <v>269.78899999999999</v>
      </c>
      <c r="BF79" s="561">
        <f>InpCompany!$F17</f>
        <v>269.78899999999999</v>
      </c>
      <c r="BG79" s="561">
        <f>InpCompany!$F17</f>
        <v>269.78899999999999</v>
      </c>
      <c r="BH79" s="561">
        <f>InpCompany!$F17</f>
        <v>269.78899999999999</v>
      </c>
      <c r="BI79" s="561">
        <f>InpCompany!$F17</f>
        <v>269.78899999999999</v>
      </c>
      <c r="BJ79" s="561">
        <f>InpCompany!$F17</f>
        <v>269.78899999999999</v>
      </c>
      <c r="BK79" s="561">
        <f>InpCompany!$F17</f>
        <v>269.78899999999999</v>
      </c>
      <c r="BL79" s="561">
        <f>InpCompany!$F17</f>
        <v>269.78899999999999</v>
      </c>
      <c r="BM79" s="561">
        <f>InpCompany!$F17</f>
        <v>269.78899999999999</v>
      </c>
      <c r="BN79" s="561">
        <f>InpCompany!$F17</f>
        <v>269.78899999999999</v>
      </c>
      <c r="BO79" s="561">
        <f>InpCompany!$F17</f>
        <v>269.78899999999999</v>
      </c>
      <c r="BP79" s="561">
        <f>InpCompany!$F17</f>
        <v>269.78899999999999</v>
      </c>
      <c r="BQ79" s="561">
        <f>InpCompany!$F17</f>
        <v>269.78899999999999</v>
      </c>
      <c r="BR79" s="561">
        <f>InpCompany!$F17</f>
        <v>269.78899999999999</v>
      </c>
      <c r="BS79" s="561">
        <f>InpCompany!$F17</f>
        <v>269.78899999999999</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25.2</v>
      </c>
      <c r="M93" s="561" t="str">
        <f>IF(InpPerformance!M$8&lt;&gt;"",ROUND(InpPerformance!M$8,1),"")</f>
        <v/>
      </c>
      <c r="N93" s="561">
        <f>IF(InpPerformance!N$8&lt;&gt;"",ROUND(InpPerformance!N$8,1),"")</f>
        <v>149</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v>
      </c>
      <c r="L96" s="470" t="str">
        <f t="shared" si="32"/>
        <v>*</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0</v>
      </c>
      <c r="K97" s="470">
        <f t="shared" si="33"/>
        <v>1.8514506564393345E-2</v>
      </c>
      <c r="L97" s="470">
        <f t="shared" si="33"/>
        <v>15.873015873015872</v>
      </c>
      <c r="M97" s="470" t="str">
        <f>M17</f>
        <v/>
      </c>
      <c r="N97" s="470">
        <f t="shared" si="33"/>
        <v>0.7382550335570448</v>
      </c>
      <c r="O97" s="470" t="str">
        <f>O17</f>
        <v/>
      </c>
      <c r="P97" s="470">
        <f t="shared" si="33"/>
        <v>61.9</v>
      </c>
      <c r="Q97" s="471">
        <f t="shared" si="33"/>
        <v>4.01</v>
      </c>
      <c r="R97" s="470">
        <f t="shared" si="33"/>
        <v>0.57999999999999996</v>
      </c>
      <c r="S97" s="470">
        <f t="shared" si="33"/>
        <v>25379</v>
      </c>
      <c r="T97" s="470">
        <f t="shared" si="33"/>
        <v>1.99</v>
      </c>
      <c r="U97" s="470">
        <f t="shared" si="33"/>
        <v>90.7</v>
      </c>
      <c r="V97" s="470">
        <f t="shared" si="33"/>
        <v>38</v>
      </c>
      <c r="W97" s="470">
        <f t="shared" si="33"/>
        <v>17</v>
      </c>
      <c r="X97" s="470">
        <f t="shared" si="33"/>
        <v>10.4</v>
      </c>
      <c r="Y97" s="470">
        <f t="shared" si="33"/>
        <v>91</v>
      </c>
      <c r="Z97" s="470" t="str">
        <f t="shared" si="33"/>
        <v/>
      </c>
      <c r="AA97" s="470" t="str">
        <f t="shared" si="33"/>
        <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25.2</v>
      </c>
      <c r="M106" s="561" t="str">
        <f>IF(InpPerformance!M$8&lt;&gt;"",ROUND(InpPerformance!M$8,1),"")</f>
        <v/>
      </c>
      <c r="N106" s="561">
        <f>IF(InpPerformance!N$8&lt;&gt;"",ROUND(InpPerformance!N$8,1),"")</f>
        <v>149</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f t="shared" ref="K109:BS109" si="38">K71</f>
        <v>0.36199999999999999</v>
      </c>
      <c r="L109" s="549">
        <f t="shared" si="38"/>
        <v>0.46300000000000002</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1.1793981481481482E-2</v>
      </c>
      <c r="L114" s="561">
        <f>IF(InpPerformance!L$47&lt;&gt;"",InpPerformance!L$47,"")</f>
        <v>-50</v>
      </c>
      <c r="M114" s="561" t="str">
        <f>IF(InpPerformance!M$47&lt;&gt;"",InpPerformance!M$47,"")</f>
        <v/>
      </c>
      <c r="N114" s="561">
        <f>IF(InpPerformance!N$47&lt;&gt;"",InpPerformance!N$47,"")</f>
        <v>-8.9</v>
      </c>
      <c r="O114" s="561" t="str">
        <f>IF(InpPerformance!O$47&lt;&gt;"",InpPerformance!O$47,"")</f>
        <v/>
      </c>
      <c r="P114" s="561" t="str">
        <f>IF(InpPerformance!P$47&lt;&gt;"",InpPerformance!P$47,"")</f>
        <v/>
      </c>
      <c r="Q114" s="563">
        <f>IF(InpPerformance!Q$47&lt;&gt;"",InpPerformance!Q$47,"")</f>
        <v>4.68</v>
      </c>
      <c r="R114" s="561" t="str">
        <f>IF(InpPerformance!R$47&lt;&gt;"",InpPerformance!R$47,"")</f>
        <v/>
      </c>
      <c r="S114" s="561" t="str">
        <f>IF(InpPerformance!S$47&lt;&gt;"",InpPerformance!S$47,"")</f>
        <v/>
      </c>
      <c r="T114" s="561">
        <f>IF(InpPerformance!T$47&lt;&gt;"",InpPerformance!T$47,"")</f>
        <v>3.36</v>
      </c>
      <c r="U114" s="561" t="str">
        <f>IF(InpPerformance!U$47&lt;&gt;"",InpPerformance!U$47,"")</f>
        <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f>InpPerformance!K57</f>
        <v>1.3391203703703704E-2</v>
      </c>
      <c r="L115" s="588">
        <f>InpPerformance!L57</f>
        <v>-70.7</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0</v>
      </c>
      <c r="K117" s="583">
        <f t="shared" ref="K117:BS117" si="41">K$17</f>
        <v>1.8514506564393345E-2</v>
      </c>
      <c r="L117" s="583">
        <f t="shared" si="41"/>
        <v>15.873015873015872</v>
      </c>
      <c r="M117" s="583" t="str">
        <f t="shared" si="41"/>
        <v/>
      </c>
      <c r="N117" s="583">
        <f t="shared" si="41"/>
        <v>0.7382550335570448</v>
      </c>
      <c r="O117" s="583" t="str">
        <f t="shared" si="41"/>
        <v/>
      </c>
      <c r="P117" s="583">
        <f t="shared" si="41"/>
        <v>61.9</v>
      </c>
      <c r="Q117" s="584">
        <f t="shared" si="41"/>
        <v>4.01</v>
      </c>
      <c r="R117" s="583">
        <f t="shared" si="41"/>
        <v>0.57999999999999996</v>
      </c>
      <c r="S117" s="583">
        <f t="shared" si="41"/>
        <v>25379</v>
      </c>
      <c r="T117" s="583">
        <f t="shared" si="41"/>
        <v>1.99</v>
      </c>
      <c r="U117" s="583">
        <f t="shared" si="41"/>
        <v>90.7</v>
      </c>
      <c r="V117" s="583">
        <f t="shared" si="41"/>
        <v>38</v>
      </c>
      <c r="W117" s="583">
        <f t="shared" si="41"/>
        <v>17</v>
      </c>
      <c r="X117" s="583">
        <f t="shared" si="41"/>
        <v>10.4</v>
      </c>
      <c r="Y117" s="583">
        <f t="shared" si="41"/>
        <v>91</v>
      </c>
      <c r="Z117" s="583" t="str">
        <f t="shared" si="41"/>
        <v/>
      </c>
      <c r="AA117" s="583" t="str">
        <f t="shared" si="41"/>
        <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1039</v>
      </c>
      <c r="F120" s="488"/>
      <c r="G120" s="488" t="str">
        <f>G7</f>
        <v>Performance commitment unit</v>
      </c>
      <c r="H120" s="488"/>
      <c r="I120" s="431"/>
      <c r="J120" s="470">
        <f>IF(J116&gt;0,MAX(J115,J117),MIN(J115,J117))</f>
        <v>0</v>
      </c>
      <c r="K120" s="470">
        <f t="shared" ref="K120:BS120" si="298">IF(K116&gt;0,MAX(K115,K117),MIN(K115,K117))</f>
        <v>1.3391203703703704E-2</v>
      </c>
      <c r="L120" s="470">
        <f t="shared" si="298"/>
        <v>15.873015873015872</v>
      </c>
      <c r="M120" s="470">
        <f>IF(M116&gt;0,MAX(M115,M117),MIN(M115,M117))</f>
        <v>0</v>
      </c>
      <c r="N120" s="470">
        <f t="shared" si="298"/>
        <v>0.7382550335570448</v>
      </c>
      <c r="O120" s="470">
        <f>IF(O116&gt;0,MAX(O115,O117),MIN(O115,O117))</f>
        <v>0</v>
      </c>
      <c r="P120" s="470">
        <f t="shared" si="298"/>
        <v>61.9</v>
      </c>
      <c r="Q120" s="471">
        <f t="shared" si="298"/>
        <v>4.01</v>
      </c>
      <c r="R120" s="470">
        <f t="shared" si="298"/>
        <v>0.57999999999999996</v>
      </c>
      <c r="S120" s="470">
        <f t="shared" si="298"/>
        <v>25379</v>
      </c>
      <c r="T120" s="470">
        <f t="shared" si="298"/>
        <v>1.99</v>
      </c>
      <c r="U120" s="470">
        <f t="shared" si="298"/>
        <v>90.7</v>
      </c>
      <c r="V120" s="470">
        <f t="shared" si="298"/>
        <v>38</v>
      </c>
      <c r="W120" s="470">
        <f t="shared" si="298"/>
        <v>17</v>
      </c>
      <c r="X120" s="470">
        <f t="shared" si="298"/>
        <v>10.4</v>
      </c>
      <c r="Y120" s="470">
        <f t="shared" si="298"/>
        <v>91</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25.2</v>
      </c>
      <c r="M127" s="561" t="str">
        <f>IF(InpPerformance!M$8&lt;&gt;"",ROUND(InpPerformance!M$8,1),"")</f>
        <v/>
      </c>
      <c r="N127" s="561">
        <f>IF(InpPerformance!N$8&lt;&gt;"",ROUND(InpPerformance!N$8,1),"")</f>
        <v>149</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f>InpPerformance!K$60</f>
        <v>-0.39</v>
      </c>
      <c r="L130" s="581">
        <f>InpPerformance!L$60</f>
        <v>-0.46300000000000002</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f t="shared" si="303"/>
        <v>3.4730158730158713</v>
      </c>
      <c r="M139" s="468" t="str">
        <f>M34</f>
        <v/>
      </c>
      <c r="N139" s="468" t="str">
        <f t="shared" si="303"/>
        <v/>
      </c>
      <c r="O139" s="468" t="str">
        <f>O34</f>
        <v/>
      </c>
      <c r="P139" s="468" t="str">
        <f t="shared" si="303"/>
        <v/>
      </c>
      <c r="Q139" s="469" t="str">
        <f t="shared" si="303"/>
        <v/>
      </c>
      <c r="R139" s="468" t="str">
        <f t="shared" si="303"/>
        <v/>
      </c>
      <c r="S139" s="468" t="str">
        <f t="shared" si="303"/>
        <v/>
      </c>
      <c r="T139" s="468">
        <f t="shared" si="303"/>
        <v>0.21000000000000019</v>
      </c>
      <c r="U139" s="468" t="str">
        <f t="shared" si="303"/>
        <v/>
      </c>
      <c r="V139" s="468" t="str">
        <f t="shared" si="303"/>
        <v/>
      </c>
      <c r="W139" s="468" t="str">
        <f t="shared" si="303"/>
        <v/>
      </c>
      <c r="X139" s="468" t="str">
        <f t="shared" si="303"/>
        <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f t="shared" si="305"/>
        <v>8.3217592592592596E-3</v>
      </c>
      <c r="L142" s="468" t="str">
        <f t="shared" si="305"/>
        <v/>
      </c>
      <c r="M142" s="468" t="str">
        <f>M52</f>
        <v/>
      </c>
      <c r="N142" s="468">
        <f t="shared" si="305"/>
        <v>5.8617449664429548</v>
      </c>
      <c r="O142" s="468" t="str">
        <f>O52</f>
        <v/>
      </c>
      <c r="P142" s="468">
        <f t="shared" si="305"/>
        <v>2.8999999999999986</v>
      </c>
      <c r="Q142" s="469">
        <f t="shared" si="305"/>
        <v>1.67</v>
      </c>
      <c r="R142" s="468">
        <f t="shared" si="305"/>
        <v>7.999999999999996E-2</v>
      </c>
      <c r="S142" s="468" t="str">
        <f t="shared" si="305"/>
        <v/>
      </c>
      <c r="T142" s="468" t="str">
        <f t="shared" si="305"/>
        <v/>
      </c>
      <c r="U142" s="468" t="str">
        <f t="shared" si="305"/>
        <v/>
      </c>
      <c r="V142" s="468" t="str">
        <f t="shared" si="305"/>
        <v/>
      </c>
      <c r="W142" s="468">
        <f t="shared" si="305"/>
        <v>7</v>
      </c>
      <c r="X142" s="468">
        <f t="shared" si="305"/>
        <v>10.4</v>
      </c>
      <c r="Y142" s="468">
        <f t="shared" si="305"/>
        <v>9</v>
      </c>
      <c r="Z142" s="468" t="str">
        <f t="shared" si="305"/>
        <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0.31140000000000001</v>
      </c>
      <c r="M152" s="549">
        <f>M45</f>
        <v>0</v>
      </c>
      <c r="N152" s="549">
        <f t="shared" si="308"/>
        <v>0</v>
      </c>
      <c r="O152" s="549">
        <f>O45</f>
        <v>0</v>
      </c>
      <c r="P152" s="549">
        <f t="shared" si="308"/>
        <v>0</v>
      </c>
      <c r="Q152" s="550">
        <f t="shared" si="308"/>
        <v>0</v>
      </c>
      <c r="R152" s="549">
        <f t="shared" si="308"/>
        <v>0</v>
      </c>
      <c r="S152" s="549">
        <f t="shared" si="308"/>
        <v>0</v>
      </c>
      <c r="T152" s="549">
        <f t="shared" si="308"/>
        <v>5.0610000000000044E-2</v>
      </c>
      <c r="U152" s="549">
        <f t="shared" si="308"/>
        <v>0</v>
      </c>
      <c r="V152" s="549">
        <f t="shared" si="308"/>
        <v>0</v>
      </c>
      <c r="W152" s="549">
        <f t="shared" si="308"/>
        <v>0</v>
      </c>
      <c r="X152" s="549">
        <f t="shared" si="308"/>
        <v>0</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-1.4499833333333334</v>
      </c>
      <c r="L156" s="549">
        <f t="shared" si="311"/>
        <v>0</v>
      </c>
      <c r="M156" s="549">
        <f>M63</f>
        <v>0</v>
      </c>
      <c r="N156" s="549">
        <f t="shared" si="311"/>
        <v>-0.76559999999999995</v>
      </c>
      <c r="O156" s="549">
        <f>O63</f>
        <v>0</v>
      </c>
      <c r="P156" s="549">
        <f t="shared" si="311"/>
        <v>-6.3799999999999968E-2</v>
      </c>
      <c r="Q156" s="550">
        <f t="shared" si="311"/>
        <v>-0.29391999999999996</v>
      </c>
      <c r="R156" s="549">
        <f t="shared" si="311"/>
        <v>-6.3679999999999973E-2</v>
      </c>
      <c r="S156" s="549">
        <f t="shared" si="311"/>
        <v>0</v>
      </c>
      <c r="T156" s="549">
        <f t="shared" si="311"/>
        <v>0</v>
      </c>
      <c r="U156" s="549">
        <f t="shared" si="311"/>
        <v>0</v>
      </c>
      <c r="V156" s="549">
        <f t="shared" si="311"/>
        <v>0</v>
      </c>
      <c r="W156" s="549">
        <f t="shared" si="311"/>
        <v>-2.9750000000000002E-2</v>
      </c>
      <c r="X156" s="549">
        <f t="shared" si="311"/>
        <v>-0.29327999999999999</v>
      </c>
      <c r="Y156" s="549">
        <f t="shared" si="311"/>
        <v>-5.7600000000000005E-2</v>
      </c>
      <c r="Z156" s="549">
        <f t="shared" si="311"/>
        <v>0</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f>IF(InpPerformance!L23&lt;&gt;"",InpPerformance!L23,"")</f>
        <v>0</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v>
      </c>
      <c r="T171" s="549">
        <f t="shared" si="314"/>
        <v>5.0610000000000044E-2</v>
      </c>
      <c r="U171" s="549">
        <f t="shared" si="314"/>
        <v>0</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v>
      </c>
      <c r="T174" s="549">
        <f t="shared" si="316"/>
        <v>5.0610000000000044E-2</v>
      </c>
      <c r="U174" s="549">
        <f t="shared" si="316"/>
        <v>0</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-1.4499833333333334</v>
      </c>
      <c r="L176" s="549">
        <f t="shared" si="317"/>
        <v>0</v>
      </c>
      <c r="M176" s="549">
        <f>IF(M$161=TRUE,IF(M166&lt;&gt;"",M166,M156),0)</f>
        <v>0</v>
      </c>
      <c r="N176" s="549">
        <f t="shared" si="317"/>
        <v>-0.76559999999999995</v>
      </c>
      <c r="O176" s="549">
        <f>IF(O$161=TRUE,IF(O166&lt;&gt;"",O166,O156),0)</f>
        <v>0</v>
      </c>
      <c r="P176" s="549">
        <f t="shared" si="317"/>
        <v>-6.3799999999999968E-2</v>
      </c>
      <c r="Q176" s="550">
        <f t="shared" si="317"/>
        <v>-0.29391999999999996</v>
      </c>
      <c r="R176" s="549">
        <f t="shared" si="317"/>
        <v>-6.3679999999999973E-2</v>
      </c>
      <c r="S176" s="549">
        <f t="shared" si="317"/>
        <v>0</v>
      </c>
      <c r="T176" s="549">
        <f>IF(T$161=TRUE,IF(T166&lt;&gt;"",T166,T156),0)</f>
        <v>0</v>
      </c>
      <c r="U176" s="549">
        <f t="shared" si="317"/>
        <v>0</v>
      </c>
      <c r="V176" s="549">
        <f t="shared" si="317"/>
        <v>0</v>
      </c>
      <c r="W176" s="549">
        <f t="shared" si="317"/>
        <v>-2.9750000000000002E-2</v>
      </c>
      <c r="X176" s="549">
        <f>IF(X$161=TRUE,IF(X166&lt;&gt;"",X166,X156),0)</f>
        <v>-0.29327999999999999</v>
      </c>
      <c r="Y176" s="549">
        <f t="shared" si="317"/>
        <v>-5.7600000000000005E-2</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1050</v>
      </c>
      <c r="F179" s="431"/>
      <c r="G179" s="591" t="str">
        <f>InpCompany!$F$11</f>
        <v>£m (2017-18 prices)</v>
      </c>
      <c r="H179" s="431"/>
      <c r="I179" s="431"/>
      <c r="J179" s="549">
        <f>SUM(J176:J178)</f>
        <v>0</v>
      </c>
      <c r="K179" s="549">
        <f t="shared" ref="K179:BS179" si="319">SUM(K176:K178)</f>
        <v>-1.4499833333333334</v>
      </c>
      <c r="L179" s="549">
        <f t="shared" si="319"/>
        <v>0</v>
      </c>
      <c r="M179" s="549">
        <f>SUM(M176:M178)</f>
        <v>0</v>
      </c>
      <c r="N179" s="549">
        <f t="shared" si="319"/>
        <v>-0.76559999999999995</v>
      </c>
      <c r="O179" s="549">
        <f>SUM(O176:O178)</f>
        <v>0</v>
      </c>
      <c r="P179" s="549">
        <f t="shared" si="319"/>
        <v>-6.3799999999999968E-2</v>
      </c>
      <c r="Q179" s="550">
        <f t="shared" si="319"/>
        <v>-0.29391999999999996</v>
      </c>
      <c r="R179" s="549">
        <f t="shared" si="319"/>
        <v>-6.3679999999999973E-2</v>
      </c>
      <c r="S179" s="549">
        <f t="shared" si="319"/>
        <v>0</v>
      </c>
      <c r="T179" s="549">
        <f>SUM(T176:T178)</f>
        <v>0</v>
      </c>
      <c r="U179" s="549">
        <f t="shared" si="319"/>
        <v>0</v>
      </c>
      <c r="V179" s="549">
        <f t="shared" si="319"/>
        <v>0</v>
      </c>
      <c r="W179" s="549">
        <f t="shared" si="319"/>
        <v>-2.9750000000000002E-2</v>
      </c>
      <c r="X179" s="549">
        <f t="shared" si="319"/>
        <v>-0.29327999999999999</v>
      </c>
      <c r="Y179" s="549">
        <f t="shared" si="319"/>
        <v>-5.7600000000000005E-2</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
      </c>
      <c r="AA182" s="564" t="str">
        <f>InpPerformance!AA34</f>
        <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0</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v>
      </c>
      <c r="T185" s="549">
        <f t="shared" si="320"/>
        <v>5.0610000000000044E-2</v>
      </c>
      <c r="U185" s="549">
        <f t="shared" si="320"/>
        <v>0</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-1.4499833333333334</v>
      </c>
      <c r="L186" s="549">
        <f t="shared" si="321"/>
        <v>0</v>
      </c>
      <c r="M186" s="549">
        <f>IF(M$183=TRUE,M179,0)</f>
        <v>0</v>
      </c>
      <c r="N186" s="549">
        <f t="shared" si="321"/>
        <v>0</v>
      </c>
      <c r="O186" s="549">
        <f>IF(O$183=TRUE,O179,0)</f>
        <v>0</v>
      </c>
      <c r="P186" s="549">
        <f t="shared" si="321"/>
        <v>-6.3799999999999968E-2</v>
      </c>
      <c r="Q186" s="550">
        <f t="shared" si="321"/>
        <v>-0.29391999999999996</v>
      </c>
      <c r="R186" s="549">
        <f t="shared" si="321"/>
        <v>-6.3679999999999973E-2</v>
      </c>
      <c r="S186" s="549">
        <f t="shared" si="321"/>
        <v>0</v>
      </c>
      <c r="T186" s="549">
        <f>IF(T$183=TRUE,T179,0)</f>
        <v>0</v>
      </c>
      <c r="U186" s="549">
        <f t="shared" si="321"/>
        <v>0</v>
      </c>
      <c r="V186" s="549">
        <f t="shared" si="321"/>
        <v>0</v>
      </c>
      <c r="W186" s="549">
        <f t="shared" si="321"/>
        <v>-2.9750000000000002E-2</v>
      </c>
      <c r="X186" s="549">
        <f t="shared" si="321"/>
        <v>-0.29327999999999999</v>
      </c>
      <c r="Y186" s="549">
        <f t="shared" si="321"/>
        <v>-5.7600000000000005E-2</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
      </c>
      <c r="AA190" s="564" t="str">
        <f>InpPerformance!AA33</f>
        <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0</v>
      </c>
      <c r="U192" s="596">
        <f>IF(InpPerformance!U68="",0,InpPerformance!U68)</f>
        <v>0</v>
      </c>
      <c r="V192" s="596">
        <f>IF(InpPerformance!V68="",0,InpPerformance!V68)</f>
        <v>0</v>
      </c>
      <c r="W192" s="596">
        <f>IF(InpPerformance!W68="",0,InpPerformance!W68)</f>
        <v>0.34</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0</v>
      </c>
      <c r="T193" s="2105">
        <f>IF(InpPerformance!T69="",0,InpPerformance!T69)</f>
        <v>0</v>
      </c>
      <c r="U193" s="2105">
        <f>IF(InpPerformance!U69="",0,InpPerformance!U69)</f>
        <v>0</v>
      </c>
      <c r="V193" s="2105">
        <f>IF(InpPerformance!V69="",0,InpPerformance!V69)</f>
        <v>1</v>
      </c>
      <c r="W193" s="2105">
        <f>IF(InpPerformance!W69="",0,InpPerformance!W69)</f>
        <v>0.66</v>
      </c>
      <c r="X193" s="2105">
        <f>IF(InpPerformance!X69="",0,InpPerformance!X69)</f>
        <v>1</v>
      </c>
      <c r="Y193" s="2105">
        <f>IF(InpPerformance!Y69="",0,InpPerformance!Y69)</f>
        <v>1</v>
      </c>
      <c r="Z193" s="2105">
        <f>IF(InpPerformance!Z69="",0,InpPerformance!Z69)</f>
        <v>0</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1</v>
      </c>
      <c r="T196" s="596">
        <f>IF(InpPerformance!T72="",0,InpPerformance!T72)</f>
        <v>1</v>
      </c>
      <c r="U196" s="596">
        <f>IF(InpPerformance!U72="",0,InpPerformance!U72)</f>
        <v>1</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1054</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1055</v>
      </c>
      <c r="F202" s="431"/>
      <c r="G202" s="591" t="str">
        <f>InpCompany!$F$11</f>
        <v>£m (2017-18 prices)</v>
      </c>
      <c r="H202" s="598">
        <f t="shared" si="322"/>
        <v>0</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1056</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1058</v>
      </c>
      <c r="F205" s="431"/>
      <c r="G205" s="591" t="str">
        <f>InpCompany!$F$11</f>
        <v>£m (2017-18 prices)</v>
      </c>
      <c r="H205" s="598">
        <f t="shared" si="322"/>
        <v>5.0610000000000044E-2</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5.0610000000000044E-2</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1062</v>
      </c>
      <c r="F210" s="431"/>
      <c r="G210" s="591" t="str">
        <f>InpCompany!$F$11</f>
        <v>£m (2017-18 prices)</v>
      </c>
      <c r="H210" s="598">
        <f t="shared" ref="H210:H216" si="329">SUM(J210:BS210)</f>
        <v>-1.0115000000000001E-2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-1.0115000000000001E-2</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1063</v>
      </c>
      <c r="F211" s="431"/>
      <c r="G211" s="591" t="str">
        <f>InpCompany!$F$11</f>
        <v>£m (2017-18 prices)</v>
      </c>
      <c r="H211" s="598">
        <f t="shared" si="329"/>
        <v>-3.0074983333333334</v>
      </c>
      <c r="I211" s="599"/>
      <c r="J211" s="549">
        <f t="shared" si="330"/>
        <v>0</v>
      </c>
      <c r="K211" s="549">
        <f t="shared" si="330"/>
        <v>-1.4499833333333334</v>
      </c>
      <c r="L211" s="549">
        <f t="shared" si="330"/>
        <v>0</v>
      </c>
      <c r="M211" s="549">
        <f t="shared" si="331"/>
        <v>0</v>
      </c>
      <c r="N211" s="668">
        <f t="shared" si="330"/>
        <v>-0.76559999999999995</v>
      </c>
      <c r="O211" s="549">
        <f t="shared" si="332"/>
        <v>0</v>
      </c>
      <c r="P211" s="549">
        <f t="shared" si="330"/>
        <v>-6.3799999999999968E-2</v>
      </c>
      <c r="Q211" s="550">
        <f t="shared" si="330"/>
        <v>-0.29391999999999996</v>
      </c>
      <c r="R211" s="549">
        <f t="shared" si="330"/>
        <v>-6.3679999999999973E-2</v>
      </c>
      <c r="S211" s="668">
        <f t="shared" si="330"/>
        <v>0</v>
      </c>
      <c r="T211" s="549">
        <f t="shared" si="330"/>
        <v>0</v>
      </c>
      <c r="U211" s="549">
        <f t="shared" si="330"/>
        <v>0</v>
      </c>
      <c r="V211" s="549">
        <f t="shared" si="330"/>
        <v>0</v>
      </c>
      <c r="W211" s="668">
        <f t="shared" si="330"/>
        <v>-1.9635000000000003E-2</v>
      </c>
      <c r="X211" s="549">
        <f t="shared" si="330"/>
        <v>-0.29327999999999999</v>
      </c>
      <c r="Y211" s="549">
        <f t="shared" si="330"/>
        <v>-5.7600000000000005E-2</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1064</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1070</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1071</v>
      </c>
      <c r="F220" s="431"/>
      <c r="G220" s="591" t="str">
        <f>InpCompany!$F$11</f>
        <v>£m (2017-18 prices)</v>
      </c>
      <c r="H220" s="598">
        <f t="shared" si="336"/>
        <v>0</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1072</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1074</v>
      </c>
      <c r="F223" s="431"/>
      <c r="G223" s="591" t="str">
        <f>InpCompany!$F$11</f>
        <v>£m (2017-18 prices)</v>
      </c>
      <c r="H223" s="598">
        <f t="shared" si="336"/>
        <v>5.0610000000000044E-2</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5.0610000000000044E-2</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1078</v>
      </c>
      <c r="F228" s="431"/>
      <c r="G228" s="591" t="str">
        <f>InpCompany!$F$11</f>
        <v>£m (2017-18 prices)</v>
      </c>
      <c r="H228" s="598">
        <f>SUM(J228:BS228)</f>
        <v>-1.0115000000000001E-2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-1.0115000000000001E-2</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1079</v>
      </c>
      <c r="F229" s="431"/>
      <c r="G229" s="591" t="str">
        <f>InpCompany!$F$11</f>
        <v>£m (2017-18 prices)</v>
      </c>
      <c r="H229" s="598">
        <f t="shared" ref="H229:H234" si="347">SUM(J229:BS229)</f>
        <v>-2.2418983333333333</v>
      </c>
      <c r="I229" s="599"/>
      <c r="J229" s="549">
        <f t="shared" si="343"/>
        <v>0</v>
      </c>
      <c r="K229" s="549">
        <f t="shared" si="343"/>
        <v>-1.4499833333333334</v>
      </c>
      <c r="L229" s="549">
        <f t="shared" si="343"/>
        <v>0</v>
      </c>
      <c r="M229" s="549">
        <f t="shared" si="344"/>
        <v>0</v>
      </c>
      <c r="N229" s="549">
        <f t="shared" si="343"/>
        <v>0</v>
      </c>
      <c r="O229" s="549">
        <f t="shared" si="345"/>
        <v>0</v>
      </c>
      <c r="P229" s="549">
        <f t="shared" si="343"/>
        <v>-6.3799999999999968E-2</v>
      </c>
      <c r="Q229" s="550">
        <f t="shared" si="343"/>
        <v>-0.29391999999999996</v>
      </c>
      <c r="R229" s="549">
        <f t="shared" si="343"/>
        <v>-6.3679999999999973E-2</v>
      </c>
      <c r="S229" s="549">
        <f t="shared" si="343"/>
        <v>0</v>
      </c>
      <c r="T229" s="549">
        <f t="shared" si="343"/>
        <v>0</v>
      </c>
      <c r="U229" s="549">
        <f t="shared" si="343"/>
        <v>0</v>
      </c>
      <c r="V229" s="549">
        <f t="shared" si="343"/>
        <v>0</v>
      </c>
      <c r="W229" s="549">
        <f t="shared" si="343"/>
        <v>-1.9635000000000003E-2</v>
      </c>
      <c r="X229" s="549">
        <f t="shared" si="343"/>
        <v>-0.29327999999999999</v>
      </c>
      <c r="Y229" s="549">
        <f t="shared" si="343"/>
        <v>-5.7600000000000005E-2</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1080</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85" t="s">
        <v>1088</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1089</v>
      </c>
      <c r="F243" s="606">
        <f t="shared" si="350"/>
        <v>0</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1090</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1092</v>
      </c>
      <c r="F246" s="606">
        <f t="shared" si="350"/>
        <v>5.0610000000000044E-2</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1096</v>
      </c>
      <c r="F251" s="606">
        <f t="shared" ref="F251:F257" si="351">H210</f>
        <v>-1.0115000000000001E-2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1097</v>
      </c>
      <c r="F252" s="606">
        <f t="shared" si="351"/>
        <v>-3.0074983333333334</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1098</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1104</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1105</v>
      </c>
      <c r="F261" s="598">
        <f t="shared" si="352"/>
        <v>0</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1106</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1108</v>
      </c>
      <c r="F264" s="598">
        <f t="shared" si="352"/>
        <v>5.0610000000000044E-2</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1112</v>
      </c>
      <c r="F269" s="1922">
        <f>H228</f>
        <v>-1.0115000000000001E-2</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1113</v>
      </c>
      <c r="F270" s="1922">
        <f t="shared" ref="F270:F275" si="353">H229</f>
        <v>-2.2418983333333333</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1114</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1121</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1130</v>
      </c>
      <c r="F288" s="1795">
        <f t="shared" si="355"/>
        <v>-0.76560000000000006</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1138</v>
      </c>
      <c r="F298" s="609">
        <f t="shared" ref="F298:F304" si="356">IF(F242=0,0,F260/F242)</f>
        <v>0</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1139</v>
      </c>
      <c r="F299" s="609">
        <f t="shared" si="356"/>
        <v>0</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1140</v>
      </c>
      <c r="F300" s="609">
        <f t="shared" si="356"/>
        <v>0</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1142</v>
      </c>
      <c r="F302" s="609">
        <f t="shared" si="356"/>
        <v>1</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97"/>
      <c r="B307" s="1397"/>
      <c r="C307" s="1397"/>
      <c r="D307" s="1397"/>
      <c r="E307" s="1385" t="s">
        <v>1146</v>
      </c>
      <c r="F307" s="609">
        <f t="shared" ref="F307:F313" si="357">IF(F269=0,0,F269/F251)</f>
        <v>1</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97"/>
      <c r="B308" s="1397"/>
      <c r="C308" s="1397"/>
      <c r="D308" s="1397"/>
      <c r="E308" s="605" t="s">
        <v>1147</v>
      </c>
      <c r="F308" s="609">
        <f>IF(F270=0,0,F270/F252)</f>
        <v>0.74543626790593953</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97"/>
      <c r="B309" s="1397"/>
      <c r="C309" s="1397"/>
      <c r="D309" s="1397"/>
      <c r="E309" s="605" t="s">
        <v>1148</v>
      </c>
      <c r="F309" s="609">
        <f t="shared" si="357"/>
        <v>0</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election activeCell="F9" sqref="F9"/>
    </sheetView>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SES Water</v>
      </c>
    </row>
    <row r="2" spans="1:17" s="195" customFormat="1" ht="13">
      <c r="A2" s="431"/>
      <c r="B2" s="431"/>
      <c r="C2" s="431"/>
      <c r="D2" s="431"/>
      <c r="E2" s="431"/>
      <c r="F2" s="440" t="s">
        <v>784</v>
      </c>
      <c r="G2" s="440" t="s">
        <v>139</v>
      </c>
      <c r="H2" s="440" t="s">
        <v>845</v>
      </c>
      <c r="I2" s="441"/>
      <c r="J2" s="431"/>
      <c r="K2" s="431"/>
      <c r="L2" s="431"/>
    </row>
    <row r="3" spans="1:17" s="199" customFormat="1" ht="13">
      <c r="A3" s="614" t="s">
        <v>861</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912</v>
      </c>
      <c r="K4" s="619" t="s">
        <v>913</v>
      </c>
      <c r="L4" s="619" t="s">
        <v>1174</v>
      </c>
      <c r="O4" s="209"/>
      <c r="Q4" s="209"/>
    </row>
    <row r="5" spans="1:17" s="226" customFormat="1" ht="13">
      <c r="A5" s="620"/>
      <c r="B5" s="621"/>
      <c r="C5" s="622" t="s">
        <v>1175</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1087</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0</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5.0610000000000044E-2</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1176</v>
      </c>
      <c r="E16" s="433"/>
      <c r="F16" s="433"/>
      <c r="G16" s="449"/>
      <c r="H16" s="433"/>
      <c r="I16" s="433"/>
      <c r="J16" s="438"/>
      <c r="K16" s="438"/>
      <c r="L16" s="438"/>
      <c r="M16" s="204"/>
      <c r="O16" s="204"/>
      <c r="Q16" s="204"/>
    </row>
    <row r="17" spans="1:17" ht="13">
      <c r="A17" s="433"/>
      <c r="B17" s="433"/>
      <c r="C17" s="433"/>
      <c r="D17" s="433"/>
      <c r="E17" s="431" t="s">
        <v>1177</v>
      </c>
      <c r="F17" s="433"/>
      <c r="G17" s="449" t="str">
        <f>InpCompany!$F$11</f>
        <v>£m (2017-18 prices)</v>
      </c>
      <c r="H17" s="433"/>
      <c r="I17" s="433"/>
      <c r="J17" s="468">
        <f>F8</f>
        <v>0</v>
      </c>
      <c r="K17" s="433"/>
      <c r="L17" s="433"/>
      <c r="O17" s="204"/>
      <c r="Q17" s="204"/>
    </row>
    <row r="18" spans="1:17" ht="13">
      <c r="A18" s="433"/>
      <c r="B18" s="433"/>
      <c r="C18" s="433"/>
      <c r="D18" s="433"/>
      <c r="E18" s="431" t="s">
        <v>1178</v>
      </c>
      <c r="F18" s="433"/>
      <c r="G18" s="449" t="str">
        <f>InpCompany!$F$11</f>
        <v>£m (2017-18 prices)</v>
      </c>
      <c r="H18" s="433"/>
      <c r="I18" s="433"/>
      <c r="J18" s="468">
        <f>F9</f>
        <v>0</v>
      </c>
      <c r="K18" s="433"/>
      <c r="L18" s="433"/>
      <c r="O18" s="204"/>
      <c r="Q18" s="204"/>
    </row>
    <row r="19" spans="1:17" ht="13">
      <c r="A19" s="433"/>
      <c r="B19" s="433"/>
      <c r="C19" s="433"/>
      <c r="D19" s="433"/>
      <c r="E19" s="431" t="s">
        <v>1179</v>
      </c>
      <c r="F19" s="433"/>
      <c r="G19" s="449" t="str">
        <f>InpCompany!$F$11</f>
        <v>£m (2017-18 prices)</v>
      </c>
      <c r="H19" s="433"/>
      <c r="I19" s="433"/>
      <c r="J19" s="625"/>
      <c r="K19" s="468">
        <f>F10</f>
        <v>0</v>
      </c>
      <c r="L19" s="433"/>
      <c r="O19" s="204"/>
      <c r="Q19" s="204"/>
    </row>
    <row r="20" spans="1:17" ht="13">
      <c r="A20" s="433"/>
      <c r="B20" s="433"/>
      <c r="C20" s="433"/>
      <c r="D20" s="433"/>
      <c r="E20" s="431" t="s">
        <v>1180</v>
      </c>
      <c r="F20" s="433"/>
      <c r="G20" s="449" t="str">
        <f>InpCompany!$F$11</f>
        <v>£m (2017-18 prices)</v>
      </c>
      <c r="H20" s="433"/>
      <c r="I20" s="433"/>
      <c r="J20" s="625"/>
      <c r="K20" s="468">
        <f>F11</f>
        <v>0</v>
      </c>
      <c r="L20" s="433"/>
      <c r="O20" s="204"/>
      <c r="Q20" s="204"/>
    </row>
    <row r="21" spans="1:17" ht="13">
      <c r="A21" s="433"/>
      <c r="B21" s="433"/>
      <c r="C21" s="433"/>
      <c r="D21" s="433"/>
      <c r="E21" s="431" t="s">
        <v>1181</v>
      </c>
      <c r="F21" s="433"/>
      <c r="G21" s="449" t="str">
        <f>InpCompany!$F$11</f>
        <v>£m (2017-18 prices)</v>
      </c>
      <c r="H21" s="433"/>
      <c r="I21" s="433"/>
      <c r="J21" s="625"/>
      <c r="K21" s="433"/>
      <c r="L21" s="468">
        <f>F12</f>
        <v>5.0610000000000044E-2</v>
      </c>
      <c r="O21" s="204"/>
      <c r="Q21" s="204"/>
    </row>
    <row r="22" spans="1:17" ht="13">
      <c r="A22" s="433"/>
      <c r="B22" s="433"/>
      <c r="C22" s="433"/>
      <c r="D22" s="433"/>
      <c r="E22" s="431" t="s">
        <v>1182</v>
      </c>
      <c r="F22" s="433"/>
      <c r="G22" s="449" t="str">
        <f>InpCompany!$F$11</f>
        <v>£m (2017-18 prices)</v>
      </c>
      <c r="H22" s="433"/>
      <c r="I22" s="433"/>
      <c r="J22" s="625"/>
      <c r="K22" s="433"/>
      <c r="L22" s="468">
        <f>F13</f>
        <v>0</v>
      </c>
      <c r="O22" s="204"/>
      <c r="Q22" s="204"/>
    </row>
    <row r="23" spans="1:17" ht="13">
      <c r="A23" s="433"/>
      <c r="B23" s="433"/>
      <c r="C23" s="433"/>
      <c r="D23" s="433"/>
      <c r="E23" s="431" t="s">
        <v>1183</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1184</v>
      </c>
      <c r="F25" s="433"/>
      <c r="G25" s="449" t="str">
        <f>InpCompany!$F$11</f>
        <v>£m (2017-18 prices)</v>
      </c>
      <c r="H25" s="433"/>
      <c r="I25" s="433"/>
      <c r="J25" s="468">
        <f>SUM(J17:J23)</f>
        <v>0</v>
      </c>
      <c r="K25" s="468">
        <f>SUM(K17:K23)</f>
        <v>0</v>
      </c>
      <c r="L25" s="468">
        <f>SUM(L17:L23)</f>
        <v>5.0610000000000044E-2</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1185</v>
      </c>
      <c r="E27" s="433"/>
      <c r="F27" s="433"/>
      <c r="G27" s="449"/>
      <c r="H27" s="433"/>
      <c r="I27" s="433"/>
      <c r="J27" s="433"/>
      <c r="K27" s="625"/>
      <c r="L27" s="433"/>
      <c r="O27" s="204"/>
      <c r="Q27" s="204"/>
    </row>
    <row r="28" spans="1:17" ht="13">
      <c r="A28" s="433"/>
      <c r="B28" s="433"/>
      <c r="C28" s="433"/>
      <c r="D28" s="433"/>
      <c r="E28" s="626" t="s">
        <v>1186</v>
      </c>
      <c r="F28" s="626"/>
      <c r="G28" s="628" t="s">
        <v>1187</v>
      </c>
      <c r="H28" s="626"/>
      <c r="I28" s="626"/>
      <c r="J28" s="627">
        <f>InpCompany!$F$17</f>
        <v>269.78899999999999</v>
      </c>
      <c r="K28" s="627">
        <f>InpCompany!$F$21</f>
        <v>0</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1189</v>
      </c>
      <c r="F31" s="433"/>
      <c r="G31" s="449" t="str">
        <f>InpCompany!$F$11</f>
        <v>£m (2017-18 prices)</v>
      </c>
      <c r="H31" s="433"/>
      <c r="I31" s="433"/>
      <c r="J31" s="625">
        <f>J28*J29*J30</f>
        <v>3.2374679999999998</v>
      </c>
      <c r="K31" s="625">
        <f>K28*K29*K30</f>
        <v>0</v>
      </c>
      <c r="L31" s="625"/>
      <c r="O31" s="204"/>
      <c r="Q31" s="204"/>
    </row>
    <row r="32" spans="1:17" ht="13">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1193</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1194</v>
      </c>
      <c r="E38" s="433"/>
      <c r="F38" s="433"/>
      <c r="G38" s="449"/>
      <c r="H38" s="433"/>
      <c r="I38" s="433"/>
      <c r="J38" s="625"/>
      <c r="K38" s="625"/>
      <c r="L38" s="625"/>
      <c r="O38" s="227"/>
      <c r="Q38" s="227"/>
    </row>
    <row r="39" spans="1:17" ht="13">
      <c r="A39" s="433"/>
      <c r="B39" s="433"/>
      <c r="C39" s="433"/>
      <c r="D39" s="433"/>
      <c r="E39" s="431" t="s">
        <v>1195</v>
      </c>
      <c r="F39" s="433"/>
      <c r="G39" s="449" t="str">
        <f>InpCompany!$F$11</f>
        <v>£m (2017-18 prices)</v>
      </c>
      <c r="H39" s="433"/>
      <c r="I39" s="433"/>
      <c r="J39" s="551">
        <f>IFERROR(J17/J$25,0)</f>
        <v>0</v>
      </c>
      <c r="K39" s="551">
        <f t="shared" ref="J39:L45" si="0">IFERROR(K17/K$25,0)</f>
        <v>0</v>
      </c>
      <c r="L39" s="551">
        <f>IFERROR(L17/L$25,0)</f>
        <v>0</v>
      </c>
      <c r="O39" s="227"/>
      <c r="Q39" s="227"/>
    </row>
    <row r="40" spans="1:17" ht="13">
      <c r="A40" s="433"/>
      <c r="B40" s="433"/>
      <c r="C40" s="433"/>
      <c r="D40" s="433"/>
      <c r="E40" s="431" t="s">
        <v>1196</v>
      </c>
      <c r="F40" s="433"/>
      <c r="G40" s="449" t="str">
        <f>InpCompany!$F$11</f>
        <v>£m (2017-18 prices)</v>
      </c>
      <c r="H40" s="433"/>
      <c r="I40" s="433"/>
      <c r="J40" s="551">
        <f t="shared" si="0"/>
        <v>0</v>
      </c>
      <c r="K40" s="551">
        <f t="shared" si="0"/>
        <v>0</v>
      </c>
      <c r="L40" s="551">
        <f t="shared" si="0"/>
        <v>0</v>
      </c>
      <c r="O40" s="227"/>
      <c r="Q40" s="227"/>
    </row>
    <row r="41" spans="1:17" ht="13">
      <c r="A41" s="433"/>
      <c r="B41" s="433"/>
      <c r="C41" s="433"/>
      <c r="D41" s="433"/>
      <c r="E41" s="431" t="s">
        <v>1197</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1199</v>
      </c>
      <c r="F43" s="433"/>
      <c r="G43" s="449" t="str">
        <f>InpCompany!$F$11</f>
        <v>£m (2017-18 prices)</v>
      </c>
      <c r="H43" s="433"/>
      <c r="I43" s="433"/>
      <c r="J43" s="551">
        <f t="shared" si="0"/>
        <v>0</v>
      </c>
      <c r="K43" s="551">
        <f t="shared" si="0"/>
        <v>0</v>
      </c>
      <c r="L43" s="551">
        <f t="shared" si="0"/>
        <v>1</v>
      </c>
      <c r="O43" s="227"/>
      <c r="Q43" s="227"/>
    </row>
    <row r="44" spans="1:17" ht="13">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42"/>
      <c r="F46" s="433"/>
      <c r="G46" s="449"/>
      <c r="H46" s="433"/>
      <c r="I46" s="433"/>
      <c r="J46" s="561"/>
      <c r="K46" s="630"/>
      <c r="L46" s="630"/>
      <c r="O46" s="227"/>
      <c r="Q46" s="227"/>
    </row>
    <row r="47" spans="1:17" ht="14.5">
      <c r="A47" s="433"/>
      <c r="B47" s="433"/>
      <c r="C47" s="433"/>
      <c r="D47" s="438" t="str">
        <f>E34</f>
        <v>Outperformance payments shared with customers (£m)</v>
      </c>
      <c r="E47" s="1342"/>
      <c r="F47" s="433"/>
      <c r="G47" s="449"/>
      <c r="H47" s="433"/>
      <c r="I47" s="433"/>
      <c r="J47" s="625"/>
      <c r="K47" s="625"/>
      <c r="L47" s="625"/>
      <c r="O47" s="227"/>
      <c r="Q47" s="227"/>
    </row>
    <row r="48" spans="1:17" ht="13">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42"/>
      <c r="F55" s="433"/>
      <c r="G55" s="449"/>
      <c r="H55" s="433"/>
      <c r="I55" s="433"/>
      <c r="J55" s="433"/>
      <c r="K55" s="433"/>
      <c r="L55" s="433"/>
      <c r="O55" s="227"/>
      <c r="Q55" s="227"/>
    </row>
    <row r="56" spans="1:17" ht="13">
      <c r="A56" s="433"/>
      <c r="B56" s="433"/>
      <c r="C56" s="433"/>
      <c r="D56" s="438" t="s">
        <v>1209</v>
      </c>
      <c r="E56" s="438"/>
      <c r="F56" s="438"/>
      <c r="G56" s="636"/>
      <c r="H56" s="433"/>
      <c r="I56" s="433"/>
      <c r="J56" s="433"/>
      <c r="K56" s="433"/>
      <c r="L56" s="433"/>
      <c r="O56" s="227"/>
      <c r="Q56" s="227"/>
    </row>
    <row r="57" spans="1:17" ht="13">
      <c r="A57" s="433"/>
      <c r="B57" s="433"/>
      <c r="C57" s="433"/>
      <c r="D57" s="433"/>
      <c r="E57" s="431" t="s">
        <v>1210</v>
      </c>
      <c r="F57" s="433"/>
      <c r="G57" s="449" t="str">
        <f>InpCompany!$F$11</f>
        <v>£m (2017-18 prices)</v>
      </c>
      <c r="H57" s="602">
        <f>J57+K57+L57</f>
        <v>0</v>
      </c>
      <c r="I57" s="602"/>
      <c r="J57" s="468">
        <f>J17-J48</f>
        <v>0</v>
      </c>
      <c r="K57" s="468">
        <f>K17-K48</f>
        <v>0</v>
      </c>
      <c r="L57" s="468">
        <f>L17-L48</f>
        <v>0</v>
      </c>
    </row>
    <row r="58" spans="1:17" ht="13">
      <c r="A58" s="433"/>
      <c r="B58" s="433"/>
      <c r="C58" s="433"/>
      <c r="D58" s="433"/>
      <c r="E58" s="431" t="s">
        <v>1211</v>
      </c>
      <c r="F58" s="433"/>
      <c r="G58" s="449" t="str">
        <f>InpCompany!$F$11</f>
        <v>£m (2017-18 prices)</v>
      </c>
      <c r="H58" s="602">
        <f t="shared" ref="H58:H63" si="2">J58+K58+L58</f>
        <v>0</v>
      </c>
      <c r="I58" s="602"/>
      <c r="J58" s="468">
        <f t="shared" ref="J58:L63" si="3">J18-J49</f>
        <v>0</v>
      </c>
      <c r="K58" s="468">
        <f t="shared" si="3"/>
        <v>0</v>
      </c>
      <c r="L58" s="468">
        <f t="shared" si="3"/>
        <v>0</v>
      </c>
    </row>
    <row r="59" spans="1:17" ht="13">
      <c r="A59" s="433"/>
      <c r="B59" s="433"/>
      <c r="C59" s="433"/>
      <c r="D59" s="433"/>
      <c r="E59" s="431" t="s">
        <v>1212</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1214</v>
      </c>
      <c r="F61" s="433"/>
      <c r="G61" s="449" t="str">
        <f>InpCompany!$F$11</f>
        <v>£m (2017-18 prices)</v>
      </c>
      <c r="H61" s="602">
        <f t="shared" si="2"/>
        <v>5.0610000000000044E-2</v>
      </c>
      <c r="I61" s="602"/>
      <c r="J61" s="468">
        <f t="shared" si="3"/>
        <v>0</v>
      </c>
      <c r="K61" s="468">
        <f t="shared" si="3"/>
        <v>0</v>
      </c>
      <c r="L61" s="468">
        <f t="shared" si="3"/>
        <v>5.0610000000000044E-2</v>
      </c>
    </row>
    <row r="62" spans="1:17" ht="13">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1217</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1218</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0</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1219</v>
      </c>
      <c r="E76" s="433"/>
      <c r="F76" s="433"/>
      <c r="G76" s="636"/>
      <c r="H76" s="438"/>
      <c r="I76" s="438"/>
      <c r="J76" s="433"/>
      <c r="K76" s="433"/>
      <c r="L76" s="433"/>
    </row>
    <row r="77" spans="1:12" ht="13">
      <c r="A77" s="433"/>
      <c r="B77" s="433"/>
      <c r="C77" s="433"/>
      <c r="D77" s="433"/>
      <c r="E77" s="605" t="s">
        <v>1220</v>
      </c>
      <c r="F77" s="608">
        <f>H57*F68</f>
        <v>0</v>
      </c>
      <c r="G77" s="638" t="str">
        <f>InpCompany!$F$11</f>
        <v>£m (2017-18 prices)</v>
      </c>
      <c r="H77" s="433"/>
      <c r="I77" s="639"/>
      <c r="J77" s="433"/>
      <c r="K77" s="433"/>
      <c r="L77" s="433"/>
    </row>
    <row r="78" spans="1:12" ht="13">
      <c r="A78" s="433"/>
      <c r="B78" s="433"/>
      <c r="C78" s="433"/>
      <c r="D78" s="433"/>
      <c r="E78" s="605" t="s">
        <v>1221</v>
      </c>
      <c r="F78" s="608">
        <f t="shared" ref="F78:F83" si="4">H58*F69</f>
        <v>0</v>
      </c>
      <c r="G78" s="638" t="str">
        <f>InpCompany!$F$11</f>
        <v>£m (2017-18 prices)</v>
      </c>
      <c r="H78" s="433"/>
      <c r="I78" s="639"/>
      <c r="J78" s="433"/>
      <c r="K78" s="433"/>
      <c r="L78" s="433"/>
    </row>
    <row r="79" spans="1:12" ht="13">
      <c r="A79" s="433"/>
      <c r="B79" s="433"/>
      <c r="C79" s="433"/>
      <c r="D79" s="433"/>
      <c r="E79" s="605" t="s">
        <v>1222</v>
      </c>
      <c r="F79" s="608">
        <f t="shared" si="4"/>
        <v>0</v>
      </c>
      <c r="G79" s="638" t="str">
        <f>InpCompany!$F$11</f>
        <v>£m (2017-18 prices)</v>
      </c>
      <c r="H79" s="433"/>
      <c r="I79" s="639"/>
      <c r="J79" s="433"/>
      <c r="K79" s="433"/>
      <c r="L79" s="433"/>
    </row>
    <row r="80" spans="1:12" ht="13">
      <c r="A80" s="433"/>
      <c r="B80" s="433"/>
      <c r="C80" s="433"/>
      <c r="D80" s="433"/>
      <c r="E80" s="605" t="s">
        <v>1223</v>
      </c>
      <c r="F80" s="608">
        <f t="shared" si="4"/>
        <v>0</v>
      </c>
      <c r="G80" s="638" t="str">
        <f>InpCompany!$F$11</f>
        <v>£m (2017-18 prices)</v>
      </c>
      <c r="H80" s="433"/>
      <c r="I80" s="639"/>
      <c r="J80" s="433"/>
      <c r="K80" s="433"/>
      <c r="L80" s="433"/>
    </row>
    <row r="81" spans="1:12" ht="13">
      <c r="A81" s="433"/>
      <c r="B81" s="433"/>
      <c r="C81" s="433"/>
      <c r="D81" s="433"/>
      <c r="E81" s="605" t="s">
        <v>1224</v>
      </c>
      <c r="F81" s="608">
        <f t="shared" si="4"/>
        <v>5.0610000000000044E-2</v>
      </c>
      <c r="G81" s="638" t="str">
        <f>InpCompany!$F$11</f>
        <v>£m (2017-18 prices)</v>
      </c>
      <c r="H81" s="433"/>
      <c r="I81" s="639"/>
      <c r="J81" s="433"/>
      <c r="K81" s="433"/>
      <c r="L81" s="433"/>
    </row>
    <row r="82" spans="1:12" ht="13">
      <c r="A82" s="433"/>
      <c r="B82" s="433"/>
      <c r="C82" s="433"/>
      <c r="D82" s="433"/>
      <c r="E82" s="605" t="s">
        <v>1225</v>
      </c>
      <c r="F82" s="608">
        <f t="shared" si="4"/>
        <v>0</v>
      </c>
      <c r="G82" s="638" t="str">
        <f>InpCompany!$F$11</f>
        <v>£m (2017-18 prices)</v>
      </c>
      <c r="H82" s="433"/>
      <c r="I82" s="639"/>
      <c r="J82" s="433"/>
      <c r="K82" s="433"/>
      <c r="L82" s="433"/>
    </row>
    <row r="83" spans="1:12" ht="13">
      <c r="A83" s="433"/>
      <c r="B83" s="433"/>
      <c r="C83" s="433"/>
      <c r="D83" s="433"/>
      <c r="E83" s="605" t="s">
        <v>1226</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1227</v>
      </c>
      <c r="E85" s="26"/>
      <c r="F85" s="433"/>
      <c r="G85" s="641"/>
      <c r="H85" s="640"/>
      <c r="I85" s="640"/>
      <c r="J85" s="433"/>
      <c r="K85" s="433"/>
      <c r="L85" s="433"/>
    </row>
    <row r="86" spans="1:12" ht="13">
      <c r="A86" s="433"/>
      <c r="B86" s="433"/>
      <c r="C86" s="433"/>
      <c r="D86" s="433"/>
      <c r="E86" s="605" t="s">
        <v>1228</v>
      </c>
      <c r="F86" s="608">
        <f t="shared" ref="F86:F92" si="5">H57*(1-F68)</f>
        <v>0</v>
      </c>
      <c r="G86" s="638" t="str">
        <f>InpCompany!$F$11</f>
        <v>£m (2017-18 prices)</v>
      </c>
      <c r="H86" s="433"/>
      <c r="I86" s="639"/>
      <c r="J86" s="433"/>
      <c r="K86" s="433"/>
      <c r="L86" s="433"/>
    </row>
    <row r="87" spans="1:12" ht="13">
      <c r="A87" s="433"/>
      <c r="B87" s="433"/>
      <c r="C87" s="433"/>
      <c r="D87" s="433"/>
      <c r="E87" s="605" t="s">
        <v>1229</v>
      </c>
      <c r="F87" s="608">
        <f t="shared" si="5"/>
        <v>0</v>
      </c>
      <c r="G87" s="638" t="str">
        <f>InpCompany!$F$11</f>
        <v>£m (2017-18 prices)</v>
      </c>
      <c r="H87" s="433"/>
      <c r="I87" s="639"/>
      <c r="J87" s="433"/>
      <c r="K87" s="433"/>
      <c r="L87" s="433"/>
    </row>
    <row r="88" spans="1:12" ht="13">
      <c r="A88" s="433"/>
      <c r="B88" s="433"/>
      <c r="C88" s="433"/>
      <c r="D88" s="433"/>
      <c r="E88" s="605" t="s">
        <v>1230</v>
      </c>
      <c r="F88" s="608">
        <f t="shared" si="5"/>
        <v>0</v>
      </c>
      <c r="G88" s="638" t="str">
        <f>InpCompany!$F$11</f>
        <v>£m (2017-18 prices)</v>
      </c>
      <c r="H88" s="433"/>
      <c r="I88" s="639"/>
      <c r="J88" s="433"/>
      <c r="K88" s="433"/>
      <c r="L88" s="433"/>
    </row>
    <row r="89" spans="1:12" ht="13">
      <c r="A89" s="433"/>
      <c r="B89" s="433"/>
      <c r="C89" s="433"/>
      <c r="D89" s="433"/>
      <c r="E89" s="605" t="s">
        <v>1231</v>
      </c>
      <c r="F89" s="608">
        <f t="shared" si="5"/>
        <v>0</v>
      </c>
      <c r="G89" s="638" t="str">
        <f>InpCompany!$F$11</f>
        <v>£m (2017-18 prices)</v>
      </c>
      <c r="H89" s="433"/>
      <c r="I89" s="639"/>
      <c r="J89" s="433"/>
      <c r="K89" s="433"/>
      <c r="L89" s="433"/>
    </row>
    <row r="90" spans="1:12" ht="13">
      <c r="A90" s="433"/>
      <c r="B90" s="433"/>
      <c r="C90" s="433"/>
      <c r="D90" s="433"/>
      <c r="E90" s="605" t="s">
        <v>1232</v>
      </c>
      <c r="F90" s="608">
        <f t="shared" si="5"/>
        <v>0</v>
      </c>
      <c r="G90" s="638" t="str">
        <f>InpCompany!$F$11</f>
        <v>£m (2017-18 prices)</v>
      </c>
      <c r="H90" s="433"/>
      <c r="I90" s="639"/>
      <c r="J90" s="433"/>
      <c r="K90" s="433"/>
      <c r="L90" s="433"/>
    </row>
    <row r="91" spans="1:12" ht="13">
      <c r="A91" s="433"/>
      <c r="B91" s="433"/>
      <c r="C91" s="433"/>
      <c r="D91" s="433"/>
      <c r="E91" s="605" t="s">
        <v>1233</v>
      </c>
      <c r="F91" s="608">
        <f t="shared" si="5"/>
        <v>0</v>
      </c>
      <c r="G91" s="638" t="str">
        <f>InpCompany!$F$11</f>
        <v>£m (2017-18 prices)</v>
      </c>
      <c r="H91" s="433"/>
      <c r="I91" s="639"/>
      <c r="J91" s="433"/>
      <c r="K91" s="433"/>
      <c r="L91" s="433"/>
    </row>
    <row r="92" spans="1:12" ht="13">
      <c r="A92" s="433"/>
      <c r="B92" s="433"/>
      <c r="C92" s="433"/>
      <c r="D92" s="433"/>
      <c r="E92" s="605" t="s">
        <v>1234</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1235</v>
      </c>
      <c r="B94" s="615"/>
      <c r="C94" s="615"/>
      <c r="D94" s="616"/>
      <c r="E94" s="617"/>
      <c r="F94" s="617"/>
      <c r="G94" s="617"/>
      <c r="H94" s="618"/>
      <c r="I94" s="617"/>
      <c r="J94" s="617"/>
      <c r="K94" s="617"/>
      <c r="L94" s="617"/>
    </row>
    <row r="95" spans="1:12" s="1374" customFormat="1" ht="13">
      <c r="A95" s="1370"/>
      <c r="B95" s="1370"/>
      <c r="C95" s="1370"/>
      <c r="D95" s="1370"/>
      <c r="E95" s="590"/>
      <c r="F95" s="1371"/>
      <c r="G95" s="1372"/>
      <c r="H95" s="1370"/>
      <c r="I95" s="1373"/>
      <c r="J95" s="1386" t="s">
        <v>912</v>
      </c>
      <c r="K95" s="1386" t="s">
        <v>913</v>
      </c>
      <c r="L95" s="1386" t="s">
        <v>1174</v>
      </c>
    </row>
    <row r="96" spans="1:12" s="1374" customFormat="1" ht="13">
      <c r="A96" s="1370"/>
      <c r="B96" s="1370"/>
      <c r="C96" s="1387" t="s">
        <v>1236</v>
      </c>
      <c r="D96" s="1370"/>
      <c r="E96" s="590"/>
      <c r="F96" s="1371"/>
      <c r="G96" s="1372"/>
      <c r="H96" s="1370"/>
      <c r="I96" s="1373"/>
      <c r="J96" s="1370"/>
      <c r="K96" s="1370"/>
      <c r="L96" s="1370"/>
    </row>
    <row r="97" spans="1:12" s="228" customFormat="1" ht="13">
      <c r="A97" s="626"/>
      <c r="B97" s="1414"/>
      <c r="C97" s="1414"/>
      <c r="D97" s="1414"/>
      <c r="E97" s="578" t="str">
        <f>InpCompany!E5</f>
        <v>Company name</v>
      </c>
      <c r="F97" s="578" t="str">
        <f>InpCompany!F5</f>
        <v>SES Water</v>
      </c>
      <c r="G97" s="578"/>
      <c r="H97" s="556"/>
      <c r="I97" s="627"/>
      <c r="J97" s="626"/>
      <c r="K97" s="626"/>
      <c r="L97" s="626"/>
    </row>
    <row r="98" spans="1:12" s="228" customFormat="1" ht="13">
      <c r="A98" s="626"/>
      <c r="B98" s="1414"/>
      <c r="C98" s="1414"/>
      <c r="D98" s="1414"/>
      <c r="E98" s="578" t="str">
        <f>InpCompany!E6</f>
        <v>Ofwat company acronym</v>
      </c>
      <c r="F98" s="578" t="str">
        <f>InpCompany!F6</f>
        <v>SES</v>
      </c>
      <c r="G98" s="578"/>
      <c r="H98" s="556"/>
      <c r="I98" s="627"/>
      <c r="J98" s="626"/>
      <c r="K98" s="626"/>
      <c r="L98" s="626"/>
    </row>
    <row r="99" spans="1:12" s="1374" customFormat="1" ht="13">
      <c r="A99" s="1370"/>
      <c r="B99" s="1218"/>
      <c r="C99" s="1218"/>
      <c r="D99" s="1218"/>
      <c r="E99" s="590"/>
      <c r="F99" s="1371"/>
      <c r="G99" s="1372"/>
      <c r="H99" s="1370"/>
      <c r="I99" s="1373"/>
      <c r="J99" s="1370"/>
      <c r="K99" s="1370"/>
      <c r="L99" s="1370"/>
    </row>
    <row r="100" spans="1:12" s="1374" customFormat="1" ht="13">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
      <c r="A101" s="1370"/>
      <c r="B101" s="1218"/>
      <c r="C101" s="1218"/>
      <c r="D101" s="1218"/>
      <c r="E101" s="590"/>
      <c r="F101" s="1371"/>
      <c r="G101" s="1372"/>
      <c r="H101" s="1370"/>
      <c r="I101" s="1373"/>
      <c r="J101" s="1370"/>
      <c r="K101" s="1370"/>
      <c r="L101" s="1370"/>
    </row>
    <row r="102" spans="1:12" s="1374" customFormat="1" ht="13">
      <c r="A102" s="1370"/>
      <c r="B102" s="1218"/>
      <c r="C102" s="1387" t="s">
        <v>1175</v>
      </c>
      <c r="D102" s="1218"/>
      <c r="E102" s="590"/>
      <c r="F102" s="1371"/>
      <c r="G102" s="1372"/>
      <c r="H102" s="1370"/>
      <c r="I102" s="1373"/>
      <c r="J102" s="1370"/>
      <c r="K102" s="1370"/>
      <c r="L102" s="1370"/>
    </row>
    <row r="103" spans="1:12" s="1374" customFormat="1" ht="13">
      <c r="A103" s="1370"/>
      <c r="B103" s="1218"/>
      <c r="C103" s="1218"/>
      <c r="D103" s="1218"/>
      <c r="E103" s="590"/>
      <c r="F103" s="1371"/>
      <c r="G103" s="1372"/>
      <c r="H103" s="1370"/>
      <c r="I103" s="1373"/>
      <c r="J103" s="1370"/>
      <c r="K103" s="1370"/>
      <c r="L103" s="1370"/>
    </row>
    <row r="104" spans="1:12" s="228" customFormat="1" ht="13">
      <c r="A104" s="626"/>
      <c r="B104" s="1414"/>
      <c r="C104" s="1414"/>
      <c r="D104" s="1414"/>
      <c r="E104" s="578" t="str">
        <f>Performance!E242</f>
        <v>Outperformance payments earned this reporting year - Water resources</v>
      </c>
      <c r="F104" s="1400">
        <f>Performance!F242</f>
        <v>0</v>
      </c>
      <c r="G104" s="578" t="str">
        <f>Performance!G242</f>
        <v>£m (2017-18 prices)</v>
      </c>
      <c r="H104" s="556"/>
      <c r="I104" s="556"/>
      <c r="J104" s="626"/>
      <c r="K104" s="626"/>
      <c r="L104" s="626"/>
    </row>
    <row r="105" spans="1:12" s="228" customFormat="1" ht="13">
      <c r="A105" s="626"/>
      <c r="B105" s="1414"/>
      <c r="C105" s="1414"/>
      <c r="D105" s="1414"/>
      <c r="E105" s="578" t="str">
        <f>Performance!E243</f>
        <v>Outperformance payments earned this reporting year - Water network plus</v>
      </c>
      <c r="F105" s="1400">
        <f>Performance!F243</f>
        <v>0</v>
      </c>
      <c r="G105" s="578" t="str">
        <f>Performance!G243</f>
        <v>£m (2017-18 prices)</v>
      </c>
      <c r="H105" s="556"/>
      <c r="I105" s="627"/>
      <c r="J105" s="626"/>
      <c r="K105" s="626"/>
      <c r="L105" s="626"/>
    </row>
    <row r="106" spans="1:12" s="228" customFormat="1" ht="13">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ht="13">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
      <c r="A108" s="626"/>
      <c r="B108" s="1414"/>
      <c r="C108" s="1414"/>
      <c r="D108" s="1414"/>
      <c r="E108" s="578" t="str">
        <f>Performance!E246</f>
        <v>Outperformance payments earned this reporting year - Residential retail</v>
      </c>
      <c r="F108" s="1400">
        <f>Performance!F246</f>
        <v>5.0610000000000044E-2</v>
      </c>
      <c r="G108" s="578" t="str">
        <f>Performance!G246</f>
        <v>£m (2017-18 prices)</v>
      </c>
      <c r="H108" s="556"/>
      <c r="I108" s="627"/>
      <c r="J108" s="626"/>
      <c r="K108" s="626"/>
      <c r="L108" s="626"/>
    </row>
    <row r="109" spans="1:12" s="228" customFormat="1" ht="13">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
      <c r="A111" s="1370"/>
      <c r="B111" s="1218"/>
      <c r="C111" s="1218"/>
      <c r="D111" s="1218"/>
      <c r="E111" s="590"/>
      <c r="F111" s="649"/>
      <c r="G111" s="590"/>
      <c r="H111" s="590"/>
      <c r="I111" s="1373"/>
      <c r="J111" s="1370"/>
      <c r="K111" s="1370"/>
      <c r="L111" s="1370"/>
    </row>
    <row r="112" spans="1:12" s="1374" customFormat="1" ht="13">
      <c r="A112" s="1370"/>
      <c r="B112" s="1218"/>
      <c r="C112" s="1218"/>
      <c r="D112" s="1218"/>
      <c r="E112" s="575" t="s">
        <v>1053</v>
      </c>
      <c r="F112" s="1389">
        <f>SUM(F104:F110)</f>
        <v>5.0610000000000044E-2</v>
      </c>
      <c r="G112" s="575" t="str">
        <f>InpCompany!$F$11</f>
        <v>£m (2017-18 prices)</v>
      </c>
      <c r="H112" s="590"/>
      <c r="I112" s="1373"/>
      <c r="J112" s="1370"/>
      <c r="K112" s="1370"/>
      <c r="L112" s="1370"/>
    </row>
    <row r="113" spans="1:12" s="1374" customFormat="1" ht="13">
      <c r="A113" s="1370"/>
      <c r="B113" s="1218"/>
      <c r="C113" s="1218"/>
      <c r="D113" s="1218"/>
      <c r="E113" s="590"/>
      <c r="F113" s="649"/>
      <c r="G113" s="590"/>
      <c r="H113" s="590"/>
      <c r="I113" s="1373"/>
      <c r="J113" s="1370"/>
      <c r="K113" s="1370"/>
      <c r="L113" s="1370"/>
    </row>
    <row r="114" spans="1:12" s="228" customFormat="1" ht="13">
      <c r="A114" s="626"/>
      <c r="B114" s="1414"/>
      <c r="C114" s="1414"/>
      <c r="D114" s="1414"/>
      <c r="E114" s="578" t="str">
        <f>Performance!E251</f>
        <v>Underperformance payments earned this reporting year - Water resources</v>
      </c>
      <c r="F114" s="1400">
        <f>Performance!F251</f>
        <v>-1.0115000000000001E-2</v>
      </c>
      <c r="G114" s="578" t="str">
        <f>Performance!G251</f>
        <v>£m (2017-18 prices)</v>
      </c>
      <c r="H114" s="556"/>
      <c r="I114" s="627"/>
      <c r="J114" s="626"/>
      <c r="K114" s="626"/>
      <c r="L114" s="626"/>
    </row>
    <row r="115" spans="1:12" s="228" customFormat="1" ht="13">
      <c r="A115" s="626"/>
      <c r="B115" s="1414"/>
      <c r="C115" s="1414"/>
      <c r="D115" s="1414"/>
      <c r="E115" s="578" t="str">
        <f>Performance!E252</f>
        <v>Underperformance payments earned this reporting year - Water network plus</v>
      </c>
      <c r="F115" s="1400">
        <f>Performance!F252</f>
        <v>-3.0074983333333334</v>
      </c>
      <c r="G115" s="578" t="str">
        <f>Performance!G252</f>
        <v>£m (2017-18 prices)</v>
      </c>
      <c r="H115" s="556"/>
      <c r="I115" s="627"/>
      <c r="J115" s="626"/>
      <c r="K115" s="626"/>
      <c r="L115" s="626"/>
    </row>
    <row r="116" spans="1:12" s="228" customFormat="1" ht="13">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ht="13">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
      <c r="A121" s="1370"/>
      <c r="B121" s="1218"/>
      <c r="C121" s="1218"/>
      <c r="D121" s="1218"/>
      <c r="E121" s="590"/>
      <c r="F121" s="649"/>
      <c r="G121" s="590"/>
      <c r="H121" s="590"/>
      <c r="I121" s="1373"/>
      <c r="J121" s="1370"/>
      <c r="K121" s="1370"/>
      <c r="L121" s="1370"/>
    </row>
    <row r="122" spans="1:12" s="1374" customFormat="1" ht="13">
      <c r="A122" s="1370"/>
      <c r="B122" s="1218"/>
      <c r="C122" s="1218"/>
      <c r="D122" s="1218"/>
      <c r="E122" s="575" t="s">
        <v>1061</v>
      </c>
      <c r="F122" s="1389">
        <f>SUM(F114:F120)</f>
        <v>-3.0176133333333333</v>
      </c>
      <c r="G122" s="575" t="str">
        <f>InpCompany!$F$11</f>
        <v>£m (2017-18 prices)</v>
      </c>
      <c r="H122" s="590"/>
      <c r="I122" s="1373"/>
      <c r="J122" s="1370"/>
      <c r="K122" s="1370"/>
      <c r="L122" s="1370"/>
    </row>
    <row r="123" spans="1:12" s="228" customFormat="1" ht="13">
      <c r="A123" s="626"/>
      <c r="B123" s="1414"/>
      <c r="C123" s="1414"/>
      <c r="D123" s="1414"/>
      <c r="E123" s="556"/>
      <c r="F123" s="652"/>
      <c r="G123" s="556"/>
      <c r="H123" s="556"/>
      <c r="I123" s="627"/>
      <c r="J123" s="626"/>
      <c r="K123" s="626"/>
      <c r="L123" s="626"/>
    </row>
    <row r="124" spans="1:12" s="1374" customFormat="1" ht="13">
      <c r="A124" s="1370"/>
      <c r="B124" s="1218"/>
      <c r="C124" s="1218"/>
      <c r="D124" s="1415" t="s">
        <v>1238</v>
      </c>
      <c r="E124" s="590"/>
      <c r="F124" s="649"/>
      <c r="G124" s="590"/>
      <c r="H124" s="590"/>
      <c r="I124" s="1373"/>
      <c r="J124" s="1370"/>
      <c r="K124" s="1370"/>
      <c r="L124" s="1370"/>
    </row>
    <row r="125" spans="1:12" s="1374" customFormat="1" ht="13">
      <c r="A125" s="1370"/>
      <c r="B125" s="1218"/>
      <c r="C125" s="1218"/>
      <c r="D125" s="1218"/>
      <c r="E125" s="1218" t="s">
        <v>1239</v>
      </c>
      <c r="F125" s="1389">
        <f>F104+F114</f>
        <v>-1.0115000000000001E-2</v>
      </c>
      <c r="G125" s="575" t="str">
        <f>InpCompany!$F$11</f>
        <v>£m (2017-18 prices)</v>
      </c>
      <c r="H125" s="590"/>
      <c r="I125" s="1373"/>
      <c r="J125" s="1370"/>
      <c r="K125" s="1370"/>
      <c r="L125" s="1370"/>
    </row>
    <row r="126" spans="1:12" s="1374" customFormat="1" ht="13">
      <c r="A126" s="1370"/>
      <c r="B126" s="1218"/>
      <c r="C126" s="1218"/>
      <c r="D126" s="1218"/>
      <c r="E126" s="1218" t="s">
        <v>1240</v>
      </c>
      <c r="F126" s="1389">
        <f t="shared" ref="F126:F130" si="6">F105+F115</f>
        <v>-3.0074983333333334</v>
      </c>
      <c r="G126" s="575" t="str">
        <f>InpCompany!$F$11</f>
        <v>£m (2017-18 prices)</v>
      </c>
      <c r="H126" s="590"/>
      <c r="I126" s="1373"/>
      <c r="J126" s="1370"/>
      <c r="K126" s="1370"/>
      <c r="L126" s="1370"/>
    </row>
    <row r="127" spans="1:12" s="1374" customFormat="1" ht="13">
      <c r="A127" s="1370"/>
      <c r="B127" s="1218"/>
      <c r="C127" s="1218"/>
      <c r="D127" s="1218"/>
      <c r="E127" s="1218" t="s">
        <v>1241</v>
      </c>
      <c r="F127" s="1389">
        <f t="shared" si="6"/>
        <v>0</v>
      </c>
      <c r="G127" s="575" t="str">
        <f>InpCompany!$F$11</f>
        <v>£m (2017-18 prices)</v>
      </c>
      <c r="H127" s="590"/>
      <c r="I127" s="1373"/>
      <c r="J127" s="1370"/>
      <c r="K127" s="1370"/>
      <c r="L127" s="1370"/>
    </row>
    <row r="128" spans="1:12" s="1374" customFormat="1" ht="13">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ht="13">
      <c r="A129" s="1370"/>
      <c r="B129" s="1218"/>
      <c r="C129" s="1218"/>
      <c r="D129" s="1218"/>
      <c r="E129" s="1218" t="s">
        <v>1243</v>
      </c>
      <c r="F129" s="1389">
        <f t="shared" si="6"/>
        <v>5.0610000000000044E-2</v>
      </c>
      <c r="G129" s="575" t="str">
        <f>InpCompany!$F$11</f>
        <v>£m (2017-18 prices)</v>
      </c>
      <c r="H129" s="590"/>
      <c r="I129" s="1373"/>
      <c r="J129" s="1370"/>
      <c r="K129" s="1370"/>
      <c r="L129" s="1370"/>
    </row>
    <row r="130" spans="1:12" s="1374" customFormat="1" ht="13">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
      <c r="A132" s="626"/>
      <c r="B132" s="1414"/>
      <c r="C132" s="1414"/>
      <c r="D132" s="1414"/>
      <c r="E132" s="556"/>
      <c r="F132" s="652"/>
      <c r="G132" s="556"/>
      <c r="H132" s="556"/>
      <c r="I132" s="627"/>
      <c r="J132" s="626"/>
      <c r="K132" s="626"/>
      <c r="L132" s="626"/>
    </row>
    <row r="133" spans="1:12" s="1374" customFormat="1" ht="13">
      <c r="A133" s="1370"/>
      <c r="B133" s="1218"/>
      <c r="C133" s="1218"/>
      <c r="D133" s="1416" t="s">
        <v>1176</v>
      </c>
      <c r="E133" s="590"/>
      <c r="F133" s="649"/>
      <c r="G133" s="590"/>
      <c r="H133" s="590"/>
      <c r="I133" s="1373"/>
      <c r="J133" s="1370"/>
      <c r="K133" s="1370"/>
      <c r="L133" s="1370"/>
    </row>
    <row r="134" spans="1:12" s="1374" customFormat="1" ht="13">
      <c r="A134" s="1370"/>
      <c r="B134" s="1218"/>
      <c r="C134" s="1218"/>
      <c r="D134" s="1218"/>
      <c r="E134" s="488" t="s">
        <v>1246</v>
      </c>
      <c r="F134" s="649"/>
      <c r="G134" s="575" t="str">
        <f>InpCompany!$F$11</f>
        <v>£m (2017-18 prices)</v>
      </c>
      <c r="H134" s="590"/>
      <c r="I134" s="1373"/>
      <c r="J134" s="1390">
        <f>F125</f>
        <v>-1.0115000000000001E-2</v>
      </c>
      <c r="K134" s="1373"/>
      <c r="L134" s="1373"/>
    </row>
    <row r="135" spans="1:12" s="1374" customFormat="1" ht="13">
      <c r="A135" s="1370"/>
      <c r="B135" s="1218"/>
      <c r="C135" s="1218"/>
      <c r="D135" s="1218"/>
      <c r="E135" s="488" t="s">
        <v>1247</v>
      </c>
      <c r="F135" s="649"/>
      <c r="G135" s="575" t="str">
        <f>InpCompany!$F$11</f>
        <v>£m (2017-18 prices)</v>
      </c>
      <c r="H135" s="590"/>
      <c r="I135" s="1373"/>
      <c r="J135" s="1390">
        <f>F126</f>
        <v>-3.0074983333333334</v>
      </c>
      <c r="K135" s="1373"/>
      <c r="L135" s="1373"/>
    </row>
    <row r="136" spans="1:12" s="1374" customFormat="1" ht="13">
      <c r="A136" s="1370"/>
      <c r="B136" s="1218"/>
      <c r="C136" s="1218"/>
      <c r="D136" s="1218"/>
      <c r="E136" s="488" t="s">
        <v>1248</v>
      </c>
      <c r="F136" s="649"/>
      <c r="G136" s="575" t="str">
        <f>InpCompany!$F$11</f>
        <v>£m (2017-18 prices)</v>
      </c>
      <c r="H136" s="590"/>
      <c r="I136" s="1373"/>
      <c r="J136" s="1373"/>
      <c r="K136" s="1390">
        <f>F127</f>
        <v>0</v>
      </c>
      <c r="L136" s="1373"/>
    </row>
    <row r="137" spans="1:12" s="1374" customFormat="1" ht="13">
      <c r="A137" s="1370"/>
      <c r="B137" s="1218"/>
      <c r="C137" s="1218"/>
      <c r="D137" s="1218"/>
      <c r="E137" s="488" t="s">
        <v>1249</v>
      </c>
      <c r="F137" s="649"/>
      <c r="G137" s="575" t="str">
        <f>InpCompany!$F$11</f>
        <v>£m (2017-18 prices)</v>
      </c>
      <c r="H137" s="590"/>
      <c r="I137" s="1373"/>
      <c r="J137" s="1373"/>
      <c r="K137" s="1390">
        <f>F128</f>
        <v>0</v>
      </c>
      <c r="L137" s="1373"/>
    </row>
    <row r="138" spans="1:12" s="1374" customFormat="1" ht="13">
      <c r="A138" s="1370"/>
      <c r="B138" s="1218"/>
      <c r="C138" s="1218"/>
      <c r="D138" s="1218"/>
      <c r="E138" s="488" t="s">
        <v>1250</v>
      </c>
      <c r="F138" s="649"/>
      <c r="G138" s="575" t="str">
        <f>InpCompany!$F$11</f>
        <v>£m (2017-18 prices)</v>
      </c>
      <c r="H138" s="590"/>
      <c r="I138" s="1373"/>
      <c r="J138" s="1373"/>
      <c r="K138" s="1373"/>
      <c r="L138" s="1390">
        <f>F129</f>
        <v>5.0610000000000044E-2</v>
      </c>
    </row>
    <row r="139" spans="1:12" s="1374" customFormat="1" ht="13">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
      <c r="A141" s="1370"/>
      <c r="B141" s="1218"/>
      <c r="C141" s="1218"/>
      <c r="D141" s="1218"/>
      <c r="E141" s="431"/>
      <c r="F141" s="590"/>
      <c r="G141" s="590"/>
      <c r="H141" s="590"/>
      <c r="I141" s="1373"/>
      <c r="J141" s="1373"/>
      <c r="K141" s="1373"/>
      <c r="L141" s="1373"/>
    </row>
    <row r="142" spans="1:12" s="1374" customFormat="1" ht="13">
      <c r="A142" s="1370"/>
      <c r="B142" s="1218"/>
      <c r="C142" s="1218"/>
      <c r="D142" s="1218"/>
      <c r="E142" s="1391" t="s">
        <v>1253</v>
      </c>
      <c r="F142" s="590"/>
      <c r="G142" s="590"/>
      <c r="H142" s="590"/>
      <c r="I142" s="1373"/>
      <c r="J142" s="1390">
        <f>SUM(J134:J140)</f>
        <v>-3.0176133333333333</v>
      </c>
      <c r="K142" s="1390">
        <f>SUM(K134:K140)</f>
        <v>0</v>
      </c>
      <c r="L142" s="1390">
        <f>SUM(L134:L140)</f>
        <v>5.0610000000000044E-2</v>
      </c>
    </row>
    <row r="143" spans="1:12" s="1374" customFormat="1" ht="13">
      <c r="A143" s="1370"/>
      <c r="B143" s="1218"/>
      <c r="C143" s="1218"/>
      <c r="D143" s="1218"/>
      <c r="E143" s="433"/>
      <c r="F143" s="590"/>
      <c r="G143" s="590"/>
      <c r="H143" s="590"/>
      <c r="I143" s="1373"/>
      <c r="J143" s="1373"/>
      <c r="K143" s="1373"/>
      <c r="L143" s="1373"/>
    </row>
    <row r="144" spans="1:12" s="1374" customFormat="1" ht="13">
      <c r="A144" s="1370"/>
      <c r="B144" s="1218"/>
      <c r="C144" s="1218"/>
      <c r="D144" s="1218"/>
      <c r="E144" s="488" t="s">
        <v>1254</v>
      </c>
      <c r="F144" s="590"/>
      <c r="G144" s="575" t="str">
        <f>InpCompany!$F$11</f>
        <v>£m (2017-18 prices)</v>
      </c>
      <c r="H144" s="590"/>
      <c r="I144" s="1373"/>
      <c r="J144" s="1390">
        <f>F114</f>
        <v>-1.0115000000000001E-2</v>
      </c>
      <c r="K144" s="1373"/>
      <c r="L144" s="1373"/>
    </row>
    <row r="145" spans="1:12" s="1374" customFormat="1" ht="13">
      <c r="A145" s="1370"/>
      <c r="B145" s="1218"/>
      <c r="C145" s="1218"/>
      <c r="D145" s="1218"/>
      <c r="E145" s="488" t="s">
        <v>1255</v>
      </c>
      <c r="F145" s="590"/>
      <c r="G145" s="575" t="str">
        <f>InpCompany!$F$11</f>
        <v>£m (2017-18 prices)</v>
      </c>
      <c r="H145" s="590"/>
      <c r="I145" s="1373"/>
      <c r="J145" s="1390">
        <f>F115</f>
        <v>-3.0074983333333334</v>
      </c>
      <c r="K145" s="1373"/>
      <c r="L145" s="1373"/>
    </row>
    <row r="146" spans="1:12" s="1374" customFormat="1" ht="13">
      <c r="A146" s="1370"/>
      <c r="B146" s="1218"/>
      <c r="C146" s="1218"/>
      <c r="D146" s="1218"/>
      <c r="E146" s="488" t="s">
        <v>1256</v>
      </c>
      <c r="F146" s="590"/>
      <c r="G146" s="575" t="str">
        <f>InpCompany!$F$11</f>
        <v>£m (2017-18 prices)</v>
      </c>
      <c r="H146" s="590"/>
      <c r="I146" s="1373"/>
      <c r="J146" s="1373"/>
      <c r="K146" s="1390">
        <f>F116</f>
        <v>0</v>
      </c>
      <c r="L146" s="1373"/>
    </row>
    <row r="147" spans="1:12" s="1374" customFormat="1" ht="13">
      <c r="A147" s="1370"/>
      <c r="B147" s="1218"/>
      <c r="C147" s="1218"/>
      <c r="D147" s="1218"/>
      <c r="E147" s="488" t="s">
        <v>1257</v>
      </c>
      <c r="F147" s="590"/>
      <c r="G147" s="575" t="str">
        <f>InpCompany!$F$11</f>
        <v>£m (2017-18 prices)</v>
      </c>
      <c r="H147" s="590"/>
      <c r="I147" s="1373"/>
      <c r="J147" s="1373"/>
      <c r="K147" s="1390">
        <f>F117</f>
        <v>0</v>
      </c>
      <c r="L147" s="1373"/>
    </row>
    <row r="148" spans="1:12" s="1374" customFormat="1" ht="13">
      <c r="A148" s="1370"/>
      <c r="B148" s="1218"/>
      <c r="C148" s="1218"/>
      <c r="D148" s="1218"/>
      <c r="E148" s="488" t="s">
        <v>1258</v>
      </c>
      <c r="F148" s="590"/>
      <c r="G148" s="575" t="str">
        <f>InpCompany!$F$11</f>
        <v>£m (2017-18 prices)</v>
      </c>
      <c r="H148" s="590"/>
      <c r="I148" s="1373"/>
      <c r="J148" s="1373"/>
      <c r="K148" s="1373"/>
      <c r="L148" s="1390">
        <f>F118</f>
        <v>0</v>
      </c>
    </row>
    <row r="149" spans="1:12" s="1374" customFormat="1" ht="13">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
      <c r="A151" s="1370"/>
      <c r="B151" s="1218"/>
      <c r="C151" s="1218"/>
      <c r="D151" s="1218"/>
      <c r="E151" s="433"/>
      <c r="F151" s="590"/>
      <c r="G151" s="590"/>
      <c r="H151" s="590"/>
      <c r="I151" s="1373"/>
      <c r="J151" s="1373"/>
      <c r="K151" s="1373"/>
      <c r="L151" s="1373"/>
    </row>
    <row r="152" spans="1:12" s="1374" customFormat="1" ht="13">
      <c r="A152" s="1370"/>
      <c r="B152" s="1218"/>
      <c r="C152" s="1218"/>
      <c r="D152" s="1218"/>
      <c r="E152" s="1391" t="s">
        <v>1261</v>
      </c>
      <c r="F152" s="590"/>
      <c r="G152" s="590"/>
      <c r="H152" s="590"/>
      <c r="I152" s="1373"/>
      <c r="J152" s="1390">
        <f>SUM(J144:J150)</f>
        <v>-3.0176133333333333</v>
      </c>
      <c r="K152" s="1390">
        <f>SUM(K144:K150)</f>
        <v>0</v>
      </c>
      <c r="L152" s="1390">
        <f>SUM(L144:L150)</f>
        <v>0</v>
      </c>
    </row>
    <row r="153" spans="1:12" s="1374" customFormat="1" ht="13">
      <c r="A153" s="1370"/>
      <c r="B153" s="1218"/>
      <c r="C153" s="1218"/>
      <c r="D153" s="1218"/>
      <c r="E153" s="433"/>
      <c r="F153" s="590"/>
      <c r="G153" s="590"/>
      <c r="H153" s="590"/>
      <c r="I153" s="1373"/>
      <c r="J153" s="1370"/>
      <c r="K153" s="1370"/>
      <c r="L153" s="1370"/>
    </row>
    <row r="154" spans="1:12" s="1374" customFormat="1" ht="13">
      <c r="A154" s="1370"/>
      <c r="B154" s="1218"/>
      <c r="C154" s="1218"/>
      <c r="D154" s="1416" t="s">
        <v>1185</v>
      </c>
      <c r="E154" s="433"/>
      <c r="F154" s="590"/>
      <c r="G154" s="590"/>
      <c r="H154" s="590"/>
      <c r="I154" s="1373"/>
      <c r="J154" s="1370"/>
      <c r="K154" s="1370"/>
      <c r="L154" s="1370"/>
    </row>
    <row r="155" spans="1:12" s="1374" customFormat="1" ht="13">
      <c r="A155" s="1370"/>
      <c r="B155" s="1218"/>
      <c r="C155" s="1218"/>
      <c r="D155" s="1218"/>
      <c r="E155" s="1391" t="s">
        <v>1262</v>
      </c>
      <c r="F155" s="433"/>
      <c r="G155" s="575" t="str">
        <f>InpCompany!$F$11</f>
        <v>£m (2017-18 prices)</v>
      </c>
      <c r="H155" s="433"/>
      <c r="I155" s="433"/>
      <c r="J155" s="1392">
        <f>J31*-1</f>
        <v>-3.2374679999999998</v>
      </c>
      <c r="K155" s="1392">
        <f t="shared" ref="K155" si="9">K31*-1</f>
        <v>0</v>
      </c>
      <c r="L155" s="1392"/>
    </row>
    <row r="156" spans="1:12" s="1374" customFormat="1" ht="13">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
      <c r="A157" s="626"/>
      <c r="B157" s="1414"/>
      <c r="C157" s="1414"/>
      <c r="D157" s="1414"/>
      <c r="E157" s="578" t="s">
        <v>862</v>
      </c>
      <c r="G157" s="578" t="s">
        <v>859</v>
      </c>
      <c r="H157" s="556"/>
      <c r="I157" s="627"/>
      <c r="J157" s="1394">
        <f>InpCompany!$F$29</f>
        <v>0.5</v>
      </c>
      <c r="K157" s="1394">
        <f>InpCompany!$F$29</f>
        <v>0.5</v>
      </c>
      <c r="L157" s="626"/>
    </row>
    <row r="158" spans="1:12" s="1374" customFormat="1" ht="13">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
      <c r="A160" s="1370"/>
      <c r="B160" s="1218"/>
      <c r="C160" s="1218"/>
      <c r="D160" s="1218"/>
      <c r="E160" s="1370"/>
      <c r="F160" s="1370"/>
      <c r="G160" s="1372"/>
      <c r="H160" s="1370"/>
      <c r="I160" s="1370"/>
      <c r="J160" s="470"/>
      <c r="K160" s="470"/>
      <c r="L160" s="1370"/>
    </row>
    <row r="161" spans="1:12" s="1374" customFormat="1" ht="13">
      <c r="A161" s="1370"/>
      <c r="B161" s="1218"/>
      <c r="C161" s="1218"/>
      <c r="D161" s="1218"/>
      <c r="E161" s="1370"/>
      <c r="F161" s="1370"/>
      <c r="G161" s="1372"/>
      <c r="H161" s="1370"/>
      <c r="I161" s="1370"/>
      <c r="J161" s="470"/>
      <c r="K161" s="470"/>
      <c r="L161" s="1370"/>
    </row>
    <row r="162" spans="1:12" s="1374" customFormat="1" ht="13">
      <c r="A162" s="1370"/>
      <c r="B162" s="1218"/>
      <c r="C162" s="1417" t="s">
        <v>1193</v>
      </c>
      <c r="D162" s="1218"/>
      <c r="E162" s="1370"/>
      <c r="F162" s="1370"/>
      <c r="G162" s="1372"/>
      <c r="H162" s="1370"/>
      <c r="I162" s="1370"/>
      <c r="J162" s="470"/>
      <c r="K162" s="470"/>
      <c r="L162" s="1370"/>
    </row>
    <row r="163" spans="1:12" s="1374" customFormat="1" ht="13">
      <c r="A163" s="1370"/>
      <c r="B163" s="1218"/>
      <c r="C163" s="1218"/>
      <c r="D163" s="1218"/>
      <c r="E163" s="1370"/>
      <c r="F163" s="1370"/>
      <c r="G163" s="1372"/>
      <c r="H163" s="1370"/>
      <c r="I163" s="1370"/>
      <c r="J163" s="470"/>
      <c r="K163" s="470"/>
      <c r="L163" s="1370"/>
    </row>
    <row r="164" spans="1:12" s="1374" customFormat="1" ht="13">
      <c r="A164" s="1370"/>
      <c r="B164" s="1218"/>
      <c r="C164" s="1218"/>
      <c r="D164" s="1416" t="s">
        <v>1265</v>
      </c>
      <c r="E164" s="1370"/>
      <c r="F164" s="1370"/>
      <c r="G164" s="1372"/>
      <c r="H164" s="1370"/>
      <c r="I164" s="1370"/>
      <c r="J164" s="470"/>
      <c r="K164" s="470"/>
      <c r="L164" s="1370"/>
    </row>
    <row r="165" spans="1:12" s="1374" customFormat="1" ht="13">
      <c r="A165" s="1370"/>
      <c r="B165" s="1218"/>
      <c r="C165" s="1218"/>
      <c r="D165" s="1218"/>
      <c r="E165" s="488" t="s">
        <v>1266</v>
      </c>
      <c r="F165" s="1395"/>
      <c r="G165" s="1393" t="s">
        <v>859</v>
      </c>
      <c r="H165" s="433"/>
      <c r="I165" s="433"/>
      <c r="J165" s="1395">
        <f>IFERROR(J144/J$152,0)</f>
        <v>3.3519867798392552E-3</v>
      </c>
      <c r="K165" s="1395">
        <f t="shared" ref="K165" si="12">IFERROR(K144/K$152,0)</f>
        <v>0</v>
      </c>
      <c r="L165" s="1395"/>
    </row>
    <row r="166" spans="1:12" s="1374" customFormat="1" ht="13">
      <c r="A166" s="1370"/>
      <c r="B166" s="1218"/>
      <c r="C166" s="1218"/>
      <c r="D166" s="1218"/>
      <c r="E166" s="488" t="s">
        <v>1267</v>
      </c>
      <c r="F166" s="1395"/>
      <c r="G166" s="1393" t="s">
        <v>859</v>
      </c>
      <c r="H166" s="1370"/>
      <c r="I166" s="1370"/>
      <c r="J166" s="1395">
        <f t="shared" ref="J166:J171" si="13">IFERROR(J145/J$152,0)</f>
        <v>0.99664801322016083</v>
      </c>
      <c r="K166" s="1395">
        <f t="shared" ref="K166:K171" si="14">IFERROR(K145/K$152,0)</f>
        <v>0</v>
      </c>
      <c r="L166" s="1395"/>
    </row>
    <row r="167" spans="1:12" s="1374" customFormat="1" ht="13">
      <c r="A167" s="1370"/>
      <c r="B167" s="1218"/>
      <c r="C167" s="1218"/>
      <c r="D167" s="1218"/>
      <c r="E167" s="488" t="s">
        <v>1268</v>
      </c>
      <c r="F167" s="1395"/>
      <c r="G167" s="1393" t="s">
        <v>859</v>
      </c>
      <c r="H167" s="1370"/>
      <c r="I167" s="1370"/>
      <c r="J167" s="1395">
        <f t="shared" si="13"/>
        <v>0</v>
      </c>
      <c r="K167" s="1395">
        <f t="shared" si="14"/>
        <v>0</v>
      </c>
      <c r="L167" s="1395"/>
    </row>
    <row r="168" spans="1:12" s="1374" customFormat="1" ht="13">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
      <c r="A169" s="1370"/>
      <c r="B169" s="1218"/>
      <c r="C169" s="1218"/>
      <c r="D169" s="1218"/>
      <c r="E169" s="488" t="s">
        <v>1270</v>
      </c>
      <c r="F169" s="1395"/>
      <c r="G169" s="1393" t="s">
        <v>859</v>
      </c>
      <c r="H169" s="1370"/>
      <c r="I169" s="1370"/>
      <c r="J169" s="1395">
        <f t="shared" si="13"/>
        <v>0</v>
      </c>
      <c r="K169" s="1395">
        <f t="shared" si="14"/>
        <v>0</v>
      </c>
      <c r="L169" s="1395"/>
    </row>
    <row r="170" spans="1:12" s="1374" customFormat="1" ht="13">
      <c r="A170" s="1370"/>
      <c r="B170" s="1218"/>
      <c r="C170" s="1218"/>
      <c r="D170" s="1218"/>
      <c r="E170" s="488" t="s">
        <v>1271</v>
      </c>
      <c r="F170" s="1395"/>
      <c r="G170" s="1393" t="s">
        <v>859</v>
      </c>
      <c r="H170" s="1370"/>
      <c r="I170" s="1370"/>
      <c r="J170" s="1395">
        <f t="shared" si="13"/>
        <v>0</v>
      </c>
      <c r="K170" s="1395">
        <f t="shared" si="14"/>
        <v>0</v>
      </c>
      <c r="L170" s="1395"/>
    </row>
    <row r="171" spans="1:12" s="1374" customFormat="1" ht="13">
      <c r="A171" s="1370"/>
      <c r="B171" s="1218"/>
      <c r="C171" s="1218"/>
      <c r="D171" s="1218"/>
      <c r="E171" s="488" t="s">
        <v>1272</v>
      </c>
      <c r="F171" s="1395"/>
      <c r="G171" s="1393" t="s">
        <v>859</v>
      </c>
      <c r="H171" s="1370"/>
      <c r="I171" s="1370"/>
      <c r="J171" s="1395">
        <f t="shared" si="13"/>
        <v>0</v>
      </c>
      <c r="K171" s="1395">
        <f t="shared" si="14"/>
        <v>0</v>
      </c>
      <c r="L171" s="1395"/>
    </row>
    <row r="172" spans="1:12" s="1374" customFormat="1" ht="13">
      <c r="A172" s="1370"/>
      <c r="B172" s="1218"/>
      <c r="C172" s="1218"/>
      <c r="D172" s="1218"/>
      <c r="E172" s="431"/>
      <c r="G172" s="590"/>
      <c r="H172" s="590"/>
      <c r="I172" s="1373"/>
      <c r="J172" s="1375"/>
      <c r="K172" s="1375"/>
      <c r="L172" s="1370"/>
    </row>
    <row r="173" spans="1:12" s="1374" customFormat="1" ht="14.5">
      <c r="A173" s="1370"/>
      <c r="B173" s="1218"/>
      <c r="C173" s="1218"/>
      <c r="D173" s="1416" t="s">
        <v>1273</v>
      </c>
      <c r="E173" s="1342"/>
      <c r="F173" s="433"/>
      <c r="G173" s="449"/>
      <c r="H173" s="433"/>
      <c r="I173" s="433"/>
      <c r="J173" s="625"/>
      <c r="K173" s="625"/>
      <c r="L173" s="625"/>
    </row>
    <row r="174" spans="1:12" s="1374" customFormat="1" ht="13">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5">
      <c r="A181" s="1370"/>
      <c r="B181" s="1218"/>
      <c r="C181" s="1218"/>
      <c r="D181" s="1391"/>
      <c r="E181" s="1342"/>
      <c r="F181" s="433"/>
      <c r="G181" s="449"/>
      <c r="H181" s="433"/>
      <c r="I181" s="433"/>
      <c r="J181" s="433"/>
      <c r="K181" s="433"/>
      <c r="L181" s="433"/>
    </row>
    <row r="182" spans="1:12" s="1374" customFormat="1" ht="13">
      <c r="A182" s="1370"/>
      <c r="B182" s="1218"/>
      <c r="C182" s="1218"/>
      <c r="D182" s="1416" t="s">
        <v>1281</v>
      </c>
      <c r="E182" s="438"/>
      <c r="F182" s="438"/>
      <c r="G182" s="636"/>
      <c r="H182" s="433"/>
      <c r="I182" s="433"/>
      <c r="J182" s="433"/>
      <c r="K182" s="433"/>
      <c r="L182" s="433"/>
    </row>
    <row r="183" spans="1:12" s="1374" customFormat="1" ht="13">
      <c r="A183" s="1370"/>
      <c r="B183" s="1218"/>
      <c r="C183" s="1218"/>
      <c r="D183" s="1391"/>
      <c r="E183" s="488" t="s">
        <v>1282</v>
      </c>
      <c r="F183" s="433"/>
      <c r="G183" s="1393" t="str">
        <f>InpCompany!$F$11</f>
        <v>£m (2017-18 prices)</v>
      </c>
      <c r="H183" s="1396">
        <f>J183+K183+L183</f>
        <v>-1.0115000000000001E-2</v>
      </c>
      <c r="I183" s="602"/>
      <c r="J183" s="1816">
        <f>J144-J174</f>
        <v>-1.0115000000000001E-2</v>
      </c>
      <c r="K183" s="583">
        <f t="shared" ref="K183:L183" si="17">K144-K174</f>
        <v>0</v>
      </c>
      <c r="L183" s="583">
        <f t="shared" si="17"/>
        <v>0</v>
      </c>
    </row>
    <row r="184" spans="1:12" s="1374" customFormat="1" ht="13">
      <c r="A184" s="1370"/>
      <c r="B184" s="1218"/>
      <c r="C184" s="1218"/>
      <c r="D184" s="1391"/>
      <c r="E184" s="488" t="s">
        <v>1283</v>
      </c>
      <c r="F184" s="433"/>
      <c r="G184" s="1393" t="str">
        <f>InpCompany!$F$11</f>
        <v>£m (2017-18 prices)</v>
      </c>
      <c r="H184" s="1396">
        <f t="shared" ref="H184:H189" si="18">J184+K184+L184</f>
        <v>-3.0074983333333334</v>
      </c>
      <c r="I184" s="602"/>
      <c r="J184" s="583">
        <f t="shared" ref="J184:L184" si="19">J145-J175</f>
        <v>-3.0074983333333334</v>
      </c>
      <c r="K184" s="583">
        <f t="shared" si="19"/>
        <v>0</v>
      </c>
      <c r="L184" s="583">
        <f t="shared" si="19"/>
        <v>0</v>
      </c>
    </row>
    <row r="185" spans="1:12" s="1374" customFormat="1" ht="13">
      <c r="A185" s="1370"/>
      <c r="B185" s="1218"/>
      <c r="C185" s="1218"/>
      <c r="D185" s="1391"/>
      <c r="E185" s="488" t="s">
        <v>1284</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ht="13">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
      <c r="A190" s="1370"/>
      <c r="B190" s="1218"/>
      <c r="C190" s="1218"/>
      <c r="D190" s="1218"/>
      <c r="E190" s="431"/>
      <c r="G190" s="590"/>
      <c r="H190" s="590"/>
      <c r="I190" s="1373"/>
      <c r="J190" s="1375"/>
      <c r="K190" s="1375"/>
      <c r="L190" s="1370"/>
    </row>
    <row r="191" spans="1:12" s="1374" customFormat="1" ht="13">
      <c r="A191" s="1370"/>
      <c r="B191" s="1218"/>
      <c r="C191" s="1417" t="s">
        <v>1217</v>
      </c>
      <c r="D191" s="1391"/>
      <c r="E191" s="431"/>
      <c r="G191" s="590"/>
      <c r="H191" s="590"/>
      <c r="I191" s="1373"/>
      <c r="J191" s="1375"/>
      <c r="K191" s="1375"/>
      <c r="L191" s="1370"/>
    </row>
    <row r="192" spans="1:12" s="1374" customFormat="1" ht="13">
      <c r="A192" s="1370"/>
      <c r="B192" s="1218"/>
      <c r="C192" s="1391"/>
      <c r="D192" s="1391"/>
      <c r="E192" s="431"/>
      <c r="G192" s="590"/>
      <c r="H192" s="590"/>
      <c r="I192" s="1373"/>
      <c r="J192" s="1375"/>
      <c r="K192" s="1375"/>
      <c r="L192" s="1370"/>
    </row>
    <row r="193" spans="1:12" s="1374" customFormat="1" ht="13">
      <c r="A193" s="1370"/>
      <c r="B193" s="1218"/>
      <c r="C193" s="1391"/>
      <c r="D193" s="1416" t="s">
        <v>1289</v>
      </c>
      <c r="E193" s="431"/>
      <c r="G193" s="590"/>
      <c r="H193" s="590"/>
      <c r="I193" s="1373"/>
      <c r="J193" s="1375"/>
      <c r="K193" s="1375"/>
      <c r="L193" s="1370"/>
    </row>
    <row r="194" spans="1:12" s="228" customFormat="1" ht="13">
      <c r="A194" s="626"/>
      <c r="B194" s="1414"/>
      <c r="C194" s="1414"/>
      <c r="D194" s="1414"/>
      <c r="E194" s="578" t="str">
        <f>Performance!E307</f>
        <v>Proportion of underperformance payments to be paid in-period - Water resources</v>
      </c>
      <c r="F194" s="1406">
        <f>Performance!F307</f>
        <v>1</v>
      </c>
      <c r="G194" s="578" t="str">
        <f>Performance!G307</f>
        <v>Percentage</v>
      </c>
      <c r="H194" s="556"/>
      <c r="I194" s="627"/>
      <c r="J194" s="1376"/>
      <c r="K194" s="1376"/>
      <c r="L194" s="626"/>
    </row>
    <row r="195" spans="1:12" s="228" customFormat="1" ht="13">
      <c r="A195" s="626"/>
      <c r="B195" s="1414"/>
      <c r="C195" s="1414"/>
      <c r="D195" s="1414"/>
      <c r="E195" s="578" t="str">
        <f>Performance!E308</f>
        <v>Proportion of underperformance payments to be paid in-period - Water network plus</v>
      </c>
      <c r="F195" s="1406">
        <f>Performance!F308</f>
        <v>0.74543626790593953</v>
      </c>
      <c r="G195" s="578" t="str">
        <f>Performance!G308</f>
        <v>Percentage</v>
      </c>
      <c r="H195" s="556"/>
      <c r="I195" s="627"/>
      <c r="J195" s="1376"/>
      <c r="K195" s="1376"/>
      <c r="L195" s="626"/>
    </row>
    <row r="196" spans="1:12" s="228" customFormat="1" ht="13">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ht="13">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
      <c r="A201" s="1777"/>
      <c r="B201" s="1778"/>
      <c r="C201" s="1778"/>
      <c r="D201" s="1779"/>
      <c r="E201" s="1780"/>
      <c r="F201" s="1780"/>
      <c r="G201" s="1780"/>
      <c r="H201" s="1781"/>
      <c r="I201" s="1780"/>
      <c r="J201" s="1780"/>
      <c r="K201" s="1780"/>
      <c r="L201" s="1780"/>
    </row>
    <row r="202" spans="1:12" s="1789" customFormat="1" ht="13">
      <c r="A202" s="1783"/>
      <c r="B202" s="1784"/>
      <c r="C202" s="1784"/>
      <c r="D202" s="1785" t="s">
        <v>1290</v>
      </c>
      <c r="E202" s="1783"/>
      <c r="F202" s="1786"/>
      <c r="G202" s="1407"/>
      <c r="H202" s="1407"/>
      <c r="I202" s="1787"/>
      <c r="J202" s="1788"/>
      <c r="K202" s="1788"/>
      <c r="L202" s="1783"/>
    </row>
    <row r="203" spans="1:12" s="1789" customFormat="1" ht="13">
      <c r="A203" s="1783"/>
      <c r="B203" s="1784"/>
      <c r="C203" s="1784"/>
      <c r="D203" s="1784"/>
      <c r="E203" s="1790" t="s">
        <v>1291</v>
      </c>
      <c r="F203" s="1791">
        <f>H183*F194</f>
        <v>-1.0115000000000001E-2</v>
      </c>
      <c r="G203" s="1792" t="str">
        <f>InpCompany!$F$11</f>
        <v>£m (2017-18 prices)</v>
      </c>
      <c r="H203" s="1407"/>
      <c r="I203" s="1787"/>
      <c r="J203" s="1788"/>
      <c r="K203" s="1788"/>
      <c r="L203" s="1783"/>
    </row>
    <row r="204" spans="1:12" s="1789" customFormat="1" ht="13">
      <c r="A204" s="1783"/>
      <c r="B204" s="1784"/>
      <c r="C204" s="1784"/>
      <c r="D204" s="1784"/>
      <c r="E204" s="1790" t="s">
        <v>1292</v>
      </c>
      <c r="F204" s="1791">
        <f t="shared" ref="F204:F209" si="25">H184*F195</f>
        <v>-2.2418983333333333</v>
      </c>
      <c r="G204" s="1792" t="str">
        <f>InpCompany!$F$11</f>
        <v>£m (2017-18 prices)</v>
      </c>
      <c r="H204" s="1407"/>
      <c r="I204" s="1787"/>
      <c r="J204" s="1788"/>
      <c r="K204" s="1788"/>
      <c r="L204" s="1783"/>
    </row>
    <row r="205" spans="1:12" s="1789" customFormat="1" ht="13">
      <c r="A205" s="1783"/>
      <c r="B205" s="1784"/>
      <c r="C205" s="1784"/>
      <c r="D205" s="1784"/>
      <c r="E205" s="1790" t="s">
        <v>1293</v>
      </c>
      <c r="F205" s="1791">
        <f t="shared" si="25"/>
        <v>0</v>
      </c>
      <c r="G205" s="1792" t="str">
        <f>InpCompany!$F$11</f>
        <v>£m (2017-18 prices)</v>
      </c>
      <c r="H205" s="1407"/>
      <c r="I205" s="1787"/>
      <c r="J205" s="1788"/>
      <c r="K205" s="1788"/>
      <c r="L205" s="1783"/>
    </row>
    <row r="206" spans="1:12" s="1789" customFormat="1" ht="13">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5">
      <c r="A210" s="1783"/>
      <c r="B210" s="1784"/>
      <c r="C210" s="1784"/>
      <c r="D210" s="1784"/>
      <c r="E210" s="1793"/>
      <c r="F210" s="1786"/>
      <c r="G210" s="1407"/>
      <c r="H210" s="1407"/>
      <c r="I210" s="1787"/>
      <c r="J210" s="1788"/>
      <c r="K210" s="1788"/>
      <c r="L210" s="1783"/>
    </row>
    <row r="211" spans="1:12" s="1789" customFormat="1" ht="14.5">
      <c r="A211" s="1783"/>
      <c r="B211" s="1784"/>
      <c r="C211" s="1784"/>
      <c r="D211" s="1785" t="s">
        <v>1298</v>
      </c>
      <c r="E211" s="1793"/>
      <c r="F211" s="1786"/>
      <c r="G211" s="1407"/>
      <c r="H211" s="1407"/>
      <c r="I211" s="1787"/>
      <c r="J211" s="1788"/>
      <c r="K211" s="1788"/>
      <c r="L211" s="1783"/>
    </row>
    <row r="212" spans="1:12" s="1789" customFormat="1" ht="13">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ht="13">
      <c r="A213" s="1783"/>
      <c r="B213" s="1784"/>
      <c r="C213" s="1784"/>
      <c r="D213" s="1784"/>
      <c r="E213" s="1790" t="s">
        <v>1300</v>
      </c>
      <c r="F213" s="1791">
        <f t="shared" ref="F213:F218" si="26">H184*(1-F195)</f>
        <v>-0.76560000000000006</v>
      </c>
      <c r="G213" s="1792" t="str">
        <f>InpCompany!$F$11</f>
        <v>£m (2017-18 prices)</v>
      </c>
      <c r="H213" s="1407"/>
      <c r="I213" s="1787"/>
      <c r="J213" s="1788"/>
      <c r="K213" s="1788"/>
      <c r="L213" s="1783"/>
    </row>
    <row r="214" spans="1:12" s="1789" customFormat="1" ht="13">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ht="13">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
      <c r="A219" s="1370"/>
      <c r="B219" s="1218"/>
      <c r="C219" s="1218"/>
      <c r="D219" s="1218"/>
      <c r="E219" s="431"/>
      <c r="F219" s="1381"/>
      <c r="G219" s="590"/>
      <c r="H219" s="590"/>
      <c r="I219" s="1373"/>
      <c r="J219" s="1375"/>
      <c r="K219" s="1375"/>
      <c r="L219" s="1370"/>
    </row>
    <row r="220" spans="1:12" s="199" customFormat="1" ht="13">
      <c r="A220" s="614" t="s">
        <v>1306</v>
      </c>
      <c r="B220" s="615"/>
      <c r="C220" s="615"/>
      <c r="D220" s="616"/>
      <c r="E220" s="617"/>
      <c r="F220" s="617"/>
      <c r="G220" s="617"/>
      <c r="H220" s="618"/>
      <c r="I220" s="617"/>
      <c r="J220" s="617"/>
      <c r="K220" s="617"/>
      <c r="L220" s="617"/>
    </row>
    <row r="221" spans="1:12" s="199" customFormat="1" ht="13">
      <c r="A221" s="1772"/>
      <c r="B221" s="1773"/>
      <c r="C221" s="1773"/>
      <c r="D221" s="1774"/>
      <c r="E221" s="1775"/>
      <c r="F221" s="1775"/>
      <c r="G221" s="1775"/>
      <c r="H221" s="1776"/>
      <c r="I221" s="1775"/>
      <c r="J221" s="1775"/>
      <c r="K221" s="1775"/>
      <c r="L221" s="1775"/>
    </row>
    <row r="222" spans="1:12" s="1374" customFormat="1" ht="13">
      <c r="A222" s="1370"/>
      <c r="B222" s="1218"/>
      <c r="C222" s="1218"/>
      <c r="D222" s="1416" t="s">
        <v>1290</v>
      </c>
      <c r="E222" s="433"/>
      <c r="F222" s="1381"/>
      <c r="G222" s="590"/>
      <c r="H222" s="590"/>
      <c r="I222" s="1373"/>
      <c r="J222" s="1375"/>
      <c r="K222" s="1375"/>
      <c r="L222" s="1370"/>
    </row>
    <row r="223" spans="1:12" s="1379" customFormat="1" ht="13">
      <c r="A223" s="640"/>
      <c r="B223" s="1418"/>
      <c r="C223" s="1418"/>
      <c r="D223" s="1418"/>
      <c r="E223" s="1397" t="s">
        <v>1291</v>
      </c>
      <c r="F223" s="1796">
        <f>IF('Sharing mechanism'!$F$100=FALSE, Performance!F269, F203)</f>
        <v>-1.0115000000000001E-2</v>
      </c>
      <c r="G223" s="1398" t="str">
        <f>InpCompany!$F$11</f>
        <v>£m (2017-18 prices)</v>
      </c>
      <c r="H223" s="605"/>
      <c r="I223" s="639"/>
      <c r="J223" s="1378"/>
      <c r="K223" s="1378"/>
      <c r="L223" s="640"/>
    </row>
    <row r="224" spans="1:12" s="1379" customFormat="1" ht="13">
      <c r="A224" s="640"/>
      <c r="B224" s="1418"/>
      <c r="C224" s="1418"/>
      <c r="D224" s="1418"/>
      <c r="E224" s="1397" t="s">
        <v>1292</v>
      </c>
      <c r="F224" s="1796">
        <f>IF('Sharing mechanism'!$F$100=FALSE, Performance!F270, F204)</f>
        <v>-2.2418983333333333</v>
      </c>
      <c r="G224" s="1398" t="str">
        <f>InpCompany!$F$11</f>
        <v>£m (2017-18 prices)</v>
      </c>
      <c r="H224" s="605"/>
      <c r="I224" s="639"/>
      <c r="J224" s="1378"/>
      <c r="K224" s="1378"/>
      <c r="L224" s="640"/>
    </row>
    <row r="225" spans="1:12" s="1379" customFormat="1" ht="13">
      <c r="A225" s="640"/>
      <c r="B225" s="1418"/>
      <c r="C225" s="1418"/>
      <c r="D225" s="1418"/>
      <c r="E225" s="1397" t="s">
        <v>1293</v>
      </c>
      <c r="F225" s="1796">
        <f>IF('Sharing mechanism'!$F$100=FALSE, Performance!F271, F205)</f>
        <v>0</v>
      </c>
      <c r="G225" s="1398" t="str">
        <f>InpCompany!$F$11</f>
        <v>£m (2017-18 prices)</v>
      </c>
      <c r="H225" s="605"/>
      <c r="I225" s="639"/>
      <c r="J225" s="1378"/>
      <c r="K225" s="1378"/>
      <c r="L225" s="640"/>
    </row>
    <row r="226" spans="1:12" s="1379" customFormat="1" ht="13">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5">
      <c r="A230" s="1370"/>
      <c r="B230" s="1218"/>
      <c r="C230" s="1218"/>
      <c r="D230" s="1391"/>
      <c r="E230" s="26"/>
      <c r="F230" s="1381"/>
      <c r="G230" s="590"/>
      <c r="H230" s="590"/>
      <c r="I230" s="1373"/>
      <c r="J230" s="1375"/>
      <c r="K230" s="1375"/>
      <c r="L230" s="1370"/>
    </row>
    <row r="231" spans="1:12" s="1374" customFormat="1" ht="14.5">
      <c r="A231" s="1370"/>
      <c r="B231" s="1218"/>
      <c r="C231" s="1218"/>
      <c r="D231" s="1416" t="s">
        <v>1298</v>
      </c>
      <c r="E231" s="26"/>
      <c r="F231" s="1381"/>
      <c r="G231" s="590"/>
      <c r="H231" s="590"/>
      <c r="I231" s="1373"/>
      <c r="J231" s="1375"/>
      <c r="K231" s="1375"/>
      <c r="L231" s="1370"/>
    </row>
    <row r="232" spans="1:12" s="1379" customFormat="1" ht="13">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ht="13">
      <c r="A233" s="640"/>
      <c r="B233" s="1418"/>
      <c r="C233" s="1418"/>
      <c r="D233" s="1418"/>
      <c r="E233" s="1397" t="s">
        <v>1300</v>
      </c>
      <c r="F233" s="1796">
        <f>IF('Sharing mechanism'!$F$100=FALSE, Performance!F288, F213)</f>
        <v>-0.76560000000000006</v>
      </c>
      <c r="G233" s="1398" t="str">
        <f>InpCompany!$F$11</f>
        <v>£m (2017-18 prices)</v>
      </c>
      <c r="H233" s="605"/>
      <c r="I233" s="639"/>
      <c r="J233" s="1378"/>
      <c r="K233" s="1378"/>
      <c r="L233" s="640"/>
    </row>
    <row r="234" spans="1:12" s="1379" customFormat="1" ht="13">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ht="13">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
      <c r="A239" s="1370"/>
      <c r="B239" s="1370"/>
      <c r="C239" s="1370"/>
      <c r="D239" s="1370"/>
      <c r="E239" s="1370"/>
      <c r="F239" s="1370"/>
      <c r="G239" s="1372"/>
      <c r="H239" s="1370"/>
      <c r="I239" s="1370"/>
      <c r="J239" s="1370"/>
      <c r="K239" s="1370"/>
      <c r="L239" s="1370"/>
    </row>
    <row r="240" spans="1:12" ht="20.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12" sqref="F12"/>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SES Water</v>
      </c>
      <c r="I1" s="232"/>
      <c r="L1" s="233"/>
    </row>
    <row r="2" spans="1:13" s="234" customFormat="1" ht="13">
      <c r="A2" s="644"/>
      <c r="B2" s="644"/>
      <c r="C2" s="644"/>
      <c r="D2" s="644"/>
      <c r="E2" s="644"/>
      <c r="F2" s="619" t="s">
        <v>784</v>
      </c>
      <c r="G2" s="619" t="s">
        <v>139</v>
      </c>
      <c r="H2" s="619" t="s">
        <v>845</v>
      </c>
      <c r="I2" s="644"/>
    </row>
    <row r="3" spans="1:13" s="199" customFormat="1" ht="13">
      <c r="A3" s="614" t="s">
        <v>1307</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1308</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1219</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0</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5.0610000000000044E-2</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1309</v>
      </c>
      <c r="E16" s="431"/>
      <c r="F16" s="472"/>
      <c r="G16" s="472"/>
      <c r="H16" s="556"/>
      <c r="I16" s="431"/>
    </row>
    <row r="17" spans="1:9" s="221" customFormat="1" ht="13">
      <c r="A17" s="556"/>
      <c r="B17" s="556"/>
      <c r="C17" s="556"/>
      <c r="D17" s="578"/>
      <c r="E17" s="1399" t="str">
        <f>'Sharing mechanism'!E223</f>
        <v>Underperformance payments after sharing (to be applied in-period) - Water resources</v>
      </c>
      <c r="F17" s="588">
        <f>'Sharing mechanism'!F223</f>
        <v>-1.0115000000000001E-2</v>
      </c>
      <c r="G17" s="1399" t="str">
        <f>'Sharing mechanism'!G223</f>
        <v>£m (2017-18 prices)</v>
      </c>
      <c r="H17" s="561"/>
      <c r="I17" s="556"/>
    </row>
    <row r="18" spans="1:9" s="221" customFormat="1" ht="13">
      <c r="A18" s="556"/>
      <c r="B18" s="556"/>
      <c r="C18" s="556"/>
      <c r="D18" s="578"/>
      <c r="E18" s="1399" t="str">
        <f>'Sharing mechanism'!E224</f>
        <v>Underperformance payments after sharing (to be applied in-period) - Water network plus</v>
      </c>
      <c r="F18" s="588">
        <f>'Sharing mechanism'!F224</f>
        <v>-2.2418983333333333</v>
      </c>
      <c r="G18" s="1399" t="str">
        <f>'Sharing mechanism'!G224</f>
        <v>£m (2017-18 prices)</v>
      </c>
      <c r="H18" s="561"/>
      <c r="I18" s="556"/>
    </row>
    <row r="19" spans="1:9" s="221" customFormat="1" ht="13">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ht="13">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1310</v>
      </c>
      <c r="E25" s="431"/>
      <c r="F25" s="472"/>
      <c r="G25" s="472"/>
      <c r="H25" s="431"/>
      <c r="I25" s="431"/>
    </row>
    <row r="26" spans="1:9" s="223" customFormat="1" ht="13">
      <c r="A26" s="605"/>
      <c r="B26" s="605"/>
      <c r="C26" s="605"/>
      <c r="D26" s="605"/>
      <c r="E26" s="605" t="s">
        <v>1311</v>
      </c>
      <c r="F26" s="653">
        <f>F8+F17</f>
        <v>-1.0115000000000001E-2</v>
      </c>
      <c r="G26" s="654" t="str">
        <f>InpCompany!$F$11</f>
        <v>£m (2017-18 prices)</v>
      </c>
      <c r="H26" s="653"/>
      <c r="I26" s="605"/>
    </row>
    <row r="27" spans="1:9" s="223" customFormat="1" ht="13">
      <c r="A27" s="605"/>
      <c r="B27" s="605"/>
      <c r="C27" s="605"/>
      <c r="D27" s="605"/>
      <c r="E27" s="605" t="s">
        <v>1312</v>
      </c>
      <c r="F27" s="653">
        <f t="shared" ref="F27:F32" si="0">F9+F18</f>
        <v>-2.2418983333333333</v>
      </c>
      <c r="G27" s="654" t="str">
        <f>InpCompany!$F$11</f>
        <v>£m (2017-18 prices)</v>
      </c>
      <c r="H27" s="653"/>
      <c r="I27" s="605"/>
    </row>
    <row r="28" spans="1:9" s="223" customFormat="1" ht="13">
      <c r="A28" s="605"/>
      <c r="B28" s="605"/>
      <c r="C28" s="605"/>
      <c r="D28" s="605"/>
      <c r="E28" s="605" t="s">
        <v>1313</v>
      </c>
      <c r="F28" s="653">
        <f t="shared" si="0"/>
        <v>0</v>
      </c>
      <c r="G28" s="654" t="str">
        <f>InpCompany!$F$11</f>
        <v>£m (2017-18 prices)</v>
      </c>
      <c r="H28" s="653"/>
      <c r="I28" s="605"/>
    </row>
    <row r="29" spans="1:9" s="223" customFormat="1" ht="13">
      <c r="A29" s="605"/>
      <c r="B29" s="605"/>
      <c r="C29" s="605"/>
      <c r="D29" s="605"/>
      <c r="E29" s="605" t="s">
        <v>1314</v>
      </c>
      <c r="F29" s="653">
        <f t="shared" si="0"/>
        <v>0</v>
      </c>
      <c r="G29" s="654" t="str">
        <f>InpCompany!$F$11</f>
        <v>£m (2017-18 prices)</v>
      </c>
      <c r="H29" s="653"/>
      <c r="I29" s="605"/>
    </row>
    <row r="30" spans="1:9" s="223" customFormat="1" ht="13">
      <c r="A30" s="605"/>
      <c r="B30" s="605"/>
      <c r="C30" s="605"/>
      <c r="D30" s="605"/>
      <c r="E30" s="605" t="s">
        <v>1315</v>
      </c>
      <c r="F30" s="653">
        <f t="shared" si="0"/>
        <v>5.0610000000000044E-2</v>
      </c>
      <c r="G30" s="654" t="str">
        <f>InpCompany!$F$11</f>
        <v>£m (2017-18 prices)</v>
      </c>
      <c r="H30" s="653"/>
      <c r="I30" s="605"/>
    </row>
    <row r="31" spans="1:9" s="223" customFormat="1" ht="13">
      <c r="A31" s="605"/>
      <c r="B31" s="605"/>
      <c r="C31" s="605"/>
      <c r="D31" s="605"/>
      <c r="E31" s="605" t="s">
        <v>1316</v>
      </c>
      <c r="F31" s="653">
        <f t="shared" si="0"/>
        <v>0</v>
      </c>
      <c r="G31" s="654" t="str">
        <f>InpCompany!$F$11</f>
        <v>£m (2017-18 prices)</v>
      </c>
      <c r="H31" s="653"/>
      <c r="I31" s="605"/>
    </row>
    <row r="32" spans="1:9" s="223" customFormat="1" ht="13">
      <c r="A32" s="605"/>
      <c r="B32" s="605"/>
      <c r="C32" s="605"/>
      <c r="D32" s="605"/>
      <c r="E32" s="605" t="s">
        <v>1317</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1318</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1308</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1227</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1319</v>
      </c>
      <c r="E48" s="431"/>
      <c r="F48" s="472"/>
      <c r="G48" s="472"/>
      <c r="H48" s="556"/>
      <c r="I48" s="431"/>
    </row>
    <row r="49" spans="1:9" s="195" customFormat="1" ht="13">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ht="13">
      <c r="A50" s="431"/>
      <c r="B50" s="431"/>
      <c r="C50" s="488"/>
      <c r="D50" s="488"/>
      <c r="E50" s="1400" t="str">
        <f>'Sharing mechanism'!E233</f>
        <v>Underperformance payments after sharing (to be applied end of period) - Water network plus</v>
      </c>
      <c r="F50" s="561">
        <f>'Sharing mechanism'!F233</f>
        <v>-0.76560000000000006</v>
      </c>
      <c r="G50" s="1400" t="str">
        <f>'Sharing mechanism'!G233</f>
        <v>£m (2017-18 prices)</v>
      </c>
      <c r="H50" s="561"/>
      <c r="I50" s="431"/>
    </row>
    <row r="51" spans="1:9" s="195" customFormat="1" ht="13">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1320</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1321</v>
      </c>
      <c r="E77" s="431"/>
      <c r="F77" s="472"/>
      <c r="G77" s="507"/>
      <c r="H77" s="431"/>
      <c r="I77" s="431"/>
    </row>
    <row r="78" spans="1:9" s="195" customFormat="1" ht="13">
      <c r="A78" s="431"/>
      <c r="B78" s="431"/>
      <c r="C78" s="431"/>
      <c r="D78" s="431"/>
      <c r="E78" s="431" t="s">
        <v>1322</v>
      </c>
      <c r="F78" s="470">
        <f>F40*(1-F60)</f>
        <v>0</v>
      </c>
      <c r="G78" s="507" t="str">
        <f>InpCompany!$F$11</f>
        <v>£m (2017-18 prices)</v>
      </c>
      <c r="H78" s="470"/>
      <c r="I78" s="431"/>
    </row>
    <row r="79" spans="1:9" s="195" customFormat="1" ht="13">
      <c r="A79" s="431"/>
      <c r="B79" s="431"/>
      <c r="C79" s="431"/>
      <c r="D79" s="431"/>
      <c r="E79" s="431" t="s">
        <v>1323</v>
      </c>
      <c r="F79" s="470">
        <f t="shared" ref="F79:F84" si="1">F41*(1-F61)</f>
        <v>0</v>
      </c>
      <c r="G79" s="507" t="str">
        <f>InpCompany!$F$11</f>
        <v>£m (2017-18 prices)</v>
      </c>
      <c r="H79" s="470"/>
      <c r="I79" s="431"/>
    </row>
    <row r="80" spans="1:9" s="195" customFormat="1" ht="13">
      <c r="A80" s="431"/>
      <c r="B80" s="431"/>
      <c r="C80" s="431"/>
      <c r="D80" s="431"/>
      <c r="E80" s="431" t="s">
        <v>1324</v>
      </c>
      <c r="F80" s="470">
        <f t="shared" si="1"/>
        <v>0</v>
      </c>
      <c r="G80" s="507" t="str">
        <f>InpCompany!$F$11</f>
        <v>£m (2017-18 prices)</v>
      </c>
      <c r="H80" s="470"/>
      <c r="I80" s="431"/>
    </row>
    <row r="81" spans="1:9" s="195" customFormat="1" ht="13">
      <c r="A81" s="431"/>
      <c r="B81" s="431"/>
      <c r="C81" s="431"/>
      <c r="D81" s="431"/>
      <c r="E81" s="431" t="s">
        <v>1325</v>
      </c>
      <c r="F81" s="470">
        <f t="shared" si="1"/>
        <v>0</v>
      </c>
      <c r="G81" s="507" t="str">
        <f>InpCompany!$F$11</f>
        <v>£m (2017-18 prices)</v>
      </c>
      <c r="H81" s="470"/>
      <c r="I81" s="431"/>
    </row>
    <row r="82" spans="1:9" s="195" customFormat="1" ht="13">
      <c r="A82" s="431"/>
      <c r="B82" s="431"/>
      <c r="C82" s="431"/>
      <c r="D82" s="431"/>
      <c r="E82" s="431" t="s">
        <v>1326</v>
      </c>
      <c r="F82" s="470">
        <f t="shared" si="1"/>
        <v>0</v>
      </c>
      <c r="G82" s="507" t="str">
        <f>InpCompany!$F$11</f>
        <v>£m (2017-18 prices)</v>
      </c>
      <c r="H82" s="470"/>
      <c r="I82" s="431"/>
    </row>
    <row r="83" spans="1:9" s="195" customFormat="1" ht="13">
      <c r="A83" s="431"/>
      <c r="B83" s="431"/>
      <c r="C83" s="431"/>
      <c r="D83" s="431"/>
      <c r="E83" s="431" t="s">
        <v>1327</v>
      </c>
      <c r="F83" s="470">
        <f t="shared" si="1"/>
        <v>0</v>
      </c>
      <c r="G83" s="507" t="str">
        <f>InpCompany!$F$11</f>
        <v>£m (2017-18 prices)</v>
      </c>
      <c r="H83" s="470"/>
      <c r="I83" s="431"/>
    </row>
    <row r="84" spans="1:9" s="195" customFormat="1" ht="13">
      <c r="A84" s="431"/>
      <c r="B84" s="431"/>
      <c r="C84" s="431"/>
      <c r="D84" s="431"/>
      <c r="E84" s="431" t="s">
        <v>1328</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1329</v>
      </c>
      <c r="E86" s="472"/>
      <c r="F86" s="472"/>
      <c r="G86" s="507"/>
      <c r="H86" s="590"/>
      <c r="I86" s="431"/>
    </row>
    <row r="87" spans="1:9" s="195" customFormat="1" ht="13">
      <c r="A87" s="431"/>
      <c r="B87" s="431"/>
      <c r="C87" s="431"/>
      <c r="D87" s="431"/>
      <c r="E87" s="431" t="s">
        <v>1330</v>
      </c>
      <c r="F87" s="470">
        <f>F40*F60</f>
        <v>0</v>
      </c>
      <c r="G87" s="507" t="str">
        <f>InpCompany!$F$11</f>
        <v>£m (2017-18 prices)</v>
      </c>
      <c r="H87" s="470"/>
      <c r="I87" s="431"/>
    </row>
    <row r="88" spans="1:9" s="195" customFormat="1" ht="13">
      <c r="A88" s="431"/>
      <c r="B88" s="431"/>
      <c r="C88" s="431"/>
      <c r="D88" s="431"/>
      <c r="E88" s="431" t="s">
        <v>1331</v>
      </c>
      <c r="F88" s="470">
        <f t="shared" ref="F88:F93" si="2">F41*F61</f>
        <v>0</v>
      </c>
      <c r="G88" s="507" t="str">
        <f>InpCompany!$F$11</f>
        <v>£m (2017-18 prices)</v>
      </c>
      <c r="H88" s="470"/>
      <c r="I88" s="431"/>
    </row>
    <row r="89" spans="1:9" s="195" customFormat="1" ht="13">
      <c r="A89" s="431"/>
      <c r="B89" s="431"/>
      <c r="C89" s="431"/>
      <c r="D89" s="431"/>
      <c r="E89" s="431" t="s">
        <v>1332</v>
      </c>
      <c r="F89" s="470">
        <f t="shared" si="2"/>
        <v>0</v>
      </c>
      <c r="G89" s="507" t="str">
        <f>InpCompany!$F$11</f>
        <v>£m (2017-18 prices)</v>
      </c>
      <c r="H89" s="470"/>
      <c r="I89" s="431"/>
    </row>
    <row r="90" spans="1:9" s="195" customFormat="1" ht="13">
      <c r="A90" s="431"/>
      <c r="B90" s="431"/>
      <c r="C90" s="431"/>
      <c r="D90" s="431"/>
      <c r="E90" s="431" t="s">
        <v>1333</v>
      </c>
      <c r="F90" s="470">
        <f t="shared" si="2"/>
        <v>0</v>
      </c>
      <c r="G90" s="507" t="str">
        <f>InpCompany!$F$11</f>
        <v>£m (2017-18 prices)</v>
      </c>
      <c r="H90" s="470"/>
      <c r="I90" s="431"/>
    </row>
    <row r="91" spans="1:9" s="195" customFormat="1" ht="13">
      <c r="A91" s="431"/>
      <c r="B91" s="431"/>
      <c r="C91" s="431"/>
      <c r="D91" s="431"/>
      <c r="E91" s="431" t="s">
        <v>1334</v>
      </c>
      <c r="F91" s="470">
        <f t="shared" si="2"/>
        <v>0</v>
      </c>
      <c r="G91" s="507" t="str">
        <f>InpCompany!$F$11</f>
        <v>£m (2017-18 prices)</v>
      </c>
      <c r="H91" s="470"/>
      <c r="I91" s="431"/>
    </row>
    <row r="92" spans="1:9" s="195" customFormat="1" ht="13">
      <c r="A92" s="431"/>
      <c r="B92" s="431"/>
      <c r="C92" s="431"/>
      <c r="D92" s="431"/>
      <c r="E92" s="431" t="s">
        <v>1335</v>
      </c>
      <c r="F92" s="470">
        <f t="shared" si="2"/>
        <v>0</v>
      </c>
      <c r="G92" s="507" t="str">
        <f>InpCompany!$F$11</f>
        <v>£m (2017-18 prices)</v>
      </c>
      <c r="H92" s="470"/>
      <c r="I92" s="431"/>
    </row>
    <row r="93" spans="1:9" s="195" customFormat="1" ht="13">
      <c r="A93" s="431"/>
      <c r="B93" s="431"/>
      <c r="C93" s="431"/>
      <c r="D93" s="431"/>
      <c r="E93" s="431" t="s">
        <v>1336</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1337</v>
      </c>
      <c r="E95" s="472"/>
      <c r="F95" s="472"/>
      <c r="G95" s="507"/>
      <c r="H95" s="590"/>
      <c r="I95" s="431"/>
    </row>
    <row r="96" spans="1:9" s="195" customFormat="1" ht="13">
      <c r="A96" s="431"/>
      <c r="B96" s="431"/>
      <c r="C96" s="431"/>
      <c r="D96" s="431"/>
      <c r="E96" s="431" t="s">
        <v>1338</v>
      </c>
      <c r="F96" s="470">
        <f>F49*(1-F69)</f>
        <v>0</v>
      </c>
      <c r="G96" s="507" t="str">
        <f>InpCompany!$F$11</f>
        <v>£m (2017-18 prices)</v>
      </c>
      <c r="H96" s="470"/>
      <c r="I96" s="431"/>
    </row>
    <row r="97" spans="1:9" s="195" customFormat="1" ht="13">
      <c r="A97" s="431"/>
      <c r="B97" s="431"/>
      <c r="C97" s="431"/>
      <c r="D97" s="431"/>
      <c r="E97" s="431" t="s">
        <v>1339</v>
      </c>
      <c r="F97" s="470">
        <f t="shared" ref="F97:F102" si="3">F50*(1-F70)</f>
        <v>-0.76560000000000006</v>
      </c>
      <c r="G97" s="507" t="str">
        <f>InpCompany!$F$11</f>
        <v>£m (2017-18 prices)</v>
      </c>
      <c r="H97" s="470"/>
      <c r="I97" s="431"/>
    </row>
    <row r="98" spans="1:9" s="195" customFormat="1" ht="13">
      <c r="A98" s="431"/>
      <c r="B98" s="431"/>
      <c r="C98" s="431"/>
      <c r="D98" s="431"/>
      <c r="E98" s="431" t="s">
        <v>1340</v>
      </c>
      <c r="F98" s="470">
        <f t="shared" si="3"/>
        <v>0</v>
      </c>
      <c r="G98" s="507" t="str">
        <f>InpCompany!$F$11</f>
        <v>£m (2017-18 prices)</v>
      </c>
      <c r="H98" s="470"/>
      <c r="I98" s="431"/>
    </row>
    <row r="99" spans="1:9" s="195" customFormat="1" ht="13">
      <c r="A99" s="431"/>
      <c r="B99" s="431"/>
      <c r="C99" s="431"/>
      <c r="D99" s="431"/>
      <c r="E99" s="431" t="s">
        <v>1341</v>
      </c>
      <c r="F99" s="470">
        <f t="shared" si="3"/>
        <v>0</v>
      </c>
      <c r="G99" s="507" t="str">
        <f>InpCompany!$F$11</f>
        <v>£m (2017-18 prices)</v>
      </c>
      <c r="H99" s="470"/>
      <c r="I99" s="431"/>
    </row>
    <row r="100" spans="1:9" s="195" customFormat="1" ht="13">
      <c r="A100" s="431"/>
      <c r="B100" s="431"/>
      <c r="C100" s="431"/>
      <c r="D100" s="431"/>
      <c r="E100" s="431" t="s">
        <v>1342</v>
      </c>
      <c r="F100" s="470">
        <f t="shared" si="3"/>
        <v>0</v>
      </c>
      <c r="G100" s="507" t="str">
        <f>InpCompany!$F$11</f>
        <v>£m (2017-18 prices)</v>
      </c>
      <c r="H100" s="470"/>
      <c r="I100" s="431"/>
    </row>
    <row r="101" spans="1:9" s="195" customFormat="1" ht="13">
      <c r="A101" s="431"/>
      <c r="B101" s="431"/>
      <c r="C101" s="431"/>
      <c r="D101" s="431"/>
      <c r="E101" s="431" t="s">
        <v>1343</v>
      </c>
      <c r="F101" s="470">
        <f t="shared" si="3"/>
        <v>0</v>
      </c>
      <c r="G101" s="507" t="str">
        <f>InpCompany!$F$11</f>
        <v>£m (2017-18 prices)</v>
      </c>
      <c r="H101" s="470"/>
      <c r="I101" s="431"/>
    </row>
    <row r="102" spans="1:9" s="195" customFormat="1" ht="13">
      <c r="A102" s="431"/>
      <c r="B102" s="431"/>
      <c r="C102" s="431"/>
      <c r="D102" s="431"/>
      <c r="E102" s="431" t="s">
        <v>1344</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1345</v>
      </c>
      <c r="E104" s="472"/>
      <c r="F104" s="472"/>
      <c r="G104" s="507"/>
      <c r="H104" s="590"/>
      <c r="I104" s="431"/>
    </row>
    <row r="105" spans="1:9" s="195" customFormat="1" ht="13">
      <c r="A105" s="431"/>
      <c r="B105" s="431"/>
      <c r="C105" s="431"/>
      <c r="D105" s="431"/>
      <c r="E105" s="431" t="s">
        <v>1346</v>
      </c>
      <c r="F105" s="470">
        <f>F49*F69</f>
        <v>0</v>
      </c>
      <c r="G105" s="507" t="str">
        <f>InpCompany!$F$11</f>
        <v>£m (2017-18 prices)</v>
      </c>
      <c r="H105" s="470"/>
      <c r="I105" s="431"/>
    </row>
    <row r="106" spans="1:9" s="195" customFormat="1" ht="13">
      <c r="A106" s="431"/>
      <c r="B106" s="431"/>
      <c r="C106" s="431"/>
      <c r="D106" s="431"/>
      <c r="E106" s="431" t="s">
        <v>1347</v>
      </c>
      <c r="F106" s="470">
        <f t="shared" ref="F106:F111" si="4">F50*F70</f>
        <v>0</v>
      </c>
      <c r="G106" s="507" t="str">
        <f>InpCompany!$F$11</f>
        <v>£m (2017-18 prices)</v>
      </c>
      <c r="H106" s="470"/>
      <c r="I106" s="431"/>
    </row>
    <row r="107" spans="1:9" s="195" customFormat="1" ht="13">
      <c r="A107" s="431"/>
      <c r="B107" s="431"/>
      <c r="C107" s="431"/>
      <c r="D107" s="431"/>
      <c r="E107" s="431" t="s">
        <v>1348</v>
      </c>
      <c r="F107" s="470">
        <f t="shared" si="4"/>
        <v>0</v>
      </c>
      <c r="G107" s="507" t="str">
        <f>InpCompany!$F$11</f>
        <v>£m (2017-18 prices)</v>
      </c>
      <c r="H107" s="470"/>
      <c r="I107" s="431"/>
    </row>
    <row r="108" spans="1:9" s="195" customFormat="1" ht="13">
      <c r="A108" s="431"/>
      <c r="B108" s="431"/>
      <c r="C108" s="431"/>
      <c r="D108" s="431"/>
      <c r="E108" s="431" t="s">
        <v>1349</v>
      </c>
      <c r="F108" s="470">
        <f t="shared" si="4"/>
        <v>0</v>
      </c>
      <c r="G108" s="507" t="str">
        <f>InpCompany!$F$11</f>
        <v>£m (2017-18 prices)</v>
      </c>
      <c r="H108" s="470"/>
      <c r="I108" s="431"/>
    </row>
    <row r="109" spans="1:9" s="195" customFormat="1" ht="13">
      <c r="A109" s="431"/>
      <c r="B109" s="431"/>
      <c r="C109" s="431"/>
      <c r="D109" s="431"/>
      <c r="E109" s="431" t="s">
        <v>1350</v>
      </c>
      <c r="F109" s="470">
        <f t="shared" si="4"/>
        <v>0</v>
      </c>
      <c r="G109" s="507" t="str">
        <f>InpCompany!$F$11</f>
        <v>£m (2017-18 prices)</v>
      </c>
      <c r="H109" s="470"/>
      <c r="I109" s="431"/>
    </row>
    <row r="110" spans="1:9" s="195" customFormat="1" ht="13">
      <c r="A110" s="431"/>
      <c r="B110" s="431"/>
      <c r="C110" s="431"/>
      <c r="D110" s="431"/>
      <c r="E110" s="431" t="s">
        <v>1351</v>
      </c>
      <c r="F110" s="470">
        <f t="shared" si="4"/>
        <v>0</v>
      </c>
      <c r="G110" s="507" t="str">
        <f>InpCompany!$F$11</f>
        <v>£m (2017-18 prices)</v>
      </c>
      <c r="H110" s="470"/>
      <c r="I110" s="431"/>
    </row>
    <row r="111" spans="1:9" s="195" customFormat="1" ht="13">
      <c r="A111" s="431"/>
      <c r="B111" s="431"/>
      <c r="C111" s="431"/>
      <c r="D111" s="431"/>
      <c r="E111" s="431" t="s">
        <v>1352</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1353</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1354</v>
      </c>
      <c r="E115" s="431"/>
      <c r="F115" s="472"/>
      <c r="G115" s="472"/>
      <c r="H115" s="431"/>
      <c r="I115" s="431"/>
    </row>
    <row r="116" spans="1:9" s="195" customFormat="1" ht="13">
      <c r="A116" s="431"/>
      <c r="B116" s="431"/>
      <c r="C116" s="431"/>
      <c r="D116" s="431"/>
      <c r="E116" s="605" t="s">
        <v>982</v>
      </c>
      <c r="F116" s="653">
        <f>F78+F96</f>
        <v>0</v>
      </c>
      <c r="G116" s="654" t="str">
        <f>InpCompany!$F$11</f>
        <v>£m (2017-18 prices)</v>
      </c>
      <c r="H116" s="653"/>
      <c r="I116" s="431"/>
    </row>
    <row r="117" spans="1:9" s="195" customFormat="1" ht="13">
      <c r="A117" s="431"/>
      <c r="B117" s="431"/>
      <c r="C117" s="431"/>
      <c r="D117" s="431"/>
      <c r="E117" s="605" t="s">
        <v>748</v>
      </c>
      <c r="F117" s="653">
        <f t="shared" ref="F117:F122" si="5">F79+F97</f>
        <v>-0.76560000000000006</v>
      </c>
      <c r="G117" s="654" t="str">
        <f>InpCompany!$F$11</f>
        <v>£m (2017-18 prices)</v>
      </c>
      <c r="H117" s="653"/>
      <c r="I117" s="431"/>
    </row>
    <row r="118" spans="1:9" s="195" customFormat="1" ht="13">
      <c r="A118" s="431"/>
      <c r="B118" s="431"/>
      <c r="C118" s="431"/>
      <c r="D118" s="431"/>
      <c r="E118" s="605" t="s">
        <v>983</v>
      </c>
      <c r="F118" s="653">
        <f t="shared" si="5"/>
        <v>0</v>
      </c>
      <c r="G118" s="654" t="str">
        <f>InpCompany!$F$11</f>
        <v>£m (2017-18 prices)</v>
      </c>
      <c r="H118" s="653"/>
      <c r="I118" s="431"/>
    </row>
    <row r="119" spans="1:9" s="195" customFormat="1" ht="13">
      <c r="A119" s="431"/>
      <c r="B119" s="431"/>
      <c r="C119" s="431"/>
      <c r="D119" s="431"/>
      <c r="E119" s="605" t="s">
        <v>984</v>
      </c>
      <c r="F119" s="653">
        <f t="shared" si="5"/>
        <v>0</v>
      </c>
      <c r="G119" s="654" t="str">
        <f>InpCompany!$F$11</f>
        <v>£m (2017-18 prices)</v>
      </c>
      <c r="H119" s="653"/>
      <c r="I119" s="431"/>
    </row>
    <row r="120" spans="1:9" s="195" customFormat="1" ht="13">
      <c r="A120" s="431"/>
      <c r="B120" s="431"/>
      <c r="C120" s="431"/>
      <c r="D120" s="431"/>
      <c r="E120" s="605" t="s">
        <v>985</v>
      </c>
      <c r="F120" s="653">
        <f t="shared" si="5"/>
        <v>0</v>
      </c>
      <c r="G120" s="654" t="str">
        <f>InpCompany!$F$11</f>
        <v>£m (2017-18 prices)</v>
      </c>
      <c r="H120" s="653"/>
      <c r="I120" s="431"/>
    </row>
    <row r="121" spans="1:9" s="195" customFormat="1" ht="13">
      <c r="A121" s="431"/>
      <c r="B121" s="431"/>
      <c r="C121" s="431"/>
      <c r="D121" s="431"/>
      <c r="E121" s="605" t="s">
        <v>986</v>
      </c>
      <c r="F121" s="653">
        <f t="shared" si="5"/>
        <v>0</v>
      </c>
      <c r="G121" s="654" t="str">
        <f>InpCompany!$F$11</f>
        <v>£m (2017-18 prices)</v>
      </c>
      <c r="H121" s="653"/>
      <c r="I121" s="431"/>
    </row>
    <row r="122" spans="1:9" s="195" customFormat="1" ht="13">
      <c r="A122" s="431"/>
      <c r="B122" s="431"/>
      <c r="C122" s="431"/>
      <c r="D122" s="431"/>
      <c r="E122" s="605" t="s">
        <v>987</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1355</v>
      </c>
      <c r="E124" s="654"/>
      <c r="F124" s="472"/>
      <c r="G124" s="472"/>
      <c r="H124" s="605"/>
      <c r="I124" s="431"/>
    </row>
    <row r="125" spans="1:9" s="195" customFormat="1" ht="13">
      <c r="A125" s="431"/>
      <c r="B125" s="431"/>
      <c r="C125" s="431"/>
      <c r="D125" s="431"/>
      <c r="E125" s="605" t="s">
        <v>988</v>
      </c>
      <c r="F125" s="653">
        <f>F87+F105</f>
        <v>0</v>
      </c>
      <c r="G125" s="654" t="str">
        <f>InpCompany!$F$11</f>
        <v>£m (2017-18 prices)</v>
      </c>
      <c r="H125" s="653"/>
      <c r="I125" s="431"/>
    </row>
    <row r="126" spans="1:9" s="195" customFormat="1" ht="13">
      <c r="A126" s="431"/>
      <c r="B126" s="431"/>
      <c r="C126" s="431"/>
      <c r="D126" s="431"/>
      <c r="E126" s="605" t="s">
        <v>989</v>
      </c>
      <c r="F126" s="653">
        <f t="shared" ref="F126:F131" si="6">F88+F106</f>
        <v>0</v>
      </c>
      <c r="G126" s="654" t="str">
        <f>InpCompany!$F$11</f>
        <v>£m (2017-18 prices)</v>
      </c>
      <c r="H126" s="653"/>
      <c r="I126" s="431"/>
    </row>
    <row r="127" spans="1:9" s="195" customFormat="1" ht="13">
      <c r="A127" s="431"/>
      <c r="B127" s="431"/>
      <c r="C127" s="431"/>
      <c r="D127" s="431"/>
      <c r="E127" s="605" t="s">
        <v>990</v>
      </c>
      <c r="F127" s="653">
        <f t="shared" si="6"/>
        <v>0</v>
      </c>
      <c r="G127" s="654" t="str">
        <f>InpCompany!$F$11</f>
        <v>£m (2017-18 prices)</v>
      </c>
      <c r="H127" s="653"/>
      <c r="I127" s="431"/>
    </row>
    <row r="128" spans="1:9" s="195" customFormat="1" ht="13">
      <c r="A128" s="431"/>
      <c r="B128" s="431"/>
      <c r="C128" s="431"/>
      <c r="D128" s="431"/>
      <c r="E128" s="605" t="s">
        <v>991</v>
      </c>
      <c r="F128" s="653">
        <f t="shared" si="6"/>
        <v>0</v>
      </c>
      <c r="G128" s="654" t="str">
        <f>InpCompany!$F$11</f>
        <v>£m (2017-18 prices)</v>
      </c>
      <c r="H128" s="653"/>
      <c r="I128" s="431"/>
    </row>
    <row r="129" spans="1:12" s="195" customFormat="1" ht="13">
      <c r="A129" s="431"/>
      <c r="B129" s="431"/>
      <c r="C129" s="431"/>
      <c r="D129" s="431"/>
      <c r="E129" s="605" t="s">
        <v>992</v>
      </c>
      <c r="F129" s="653">
        <f t="shared" si="6"/>
        <v>0</v>
      </c>
      <c r="G129" s="654" t="str">
        <f>InpCompany!$F$11</f>
        <v>£m (2017-18 prices)</v>
      </c>
      <c r="H129" s="653"/>
      <c r="I129" s="431"/>
    </row>
    <row r="130" spans="1:12" s="195" customFormat="1" ht="13">
      <c r="A130" s="431"/>
      <c r="B130" s="431"/>
      <c r="C130" s="431"/>
      <c r="D130" s="431"/>
      <c r="E130" s="605" t="s">
        <v>993</v>
      </c>
      <c r="F130" s="653">
        <f t="shared" si="6"/>
        <v>0</v>
      </c>
      <c r="G130" s="654" t="str">
        <f>InpCompany!$F$11</f>
        <v>£m (2017-18 prices)</v>
      </c>
      <c r="H130" s="653"/>
      <c r="I130" s="431"/>
    </row>
    <row r="131" spans="1:12" s="195" customFormat="1" ht="13">
      <c r="A131" s="431"/>
      <c r="B131" s="431"/>
      <c r="C131" s="431"/>
      <c r="D131" s="431"/>
      <c r="E131" s="605" t="s">
        <v>994</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SES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PR19SES_A.4</v>
      </c>
      <c r="K5" s="660" t="str">
        <f>IF(InpPerformance!K16&lt;&gt;"",InpPerformance!K16,"")</f>
        <v>PR19SES_A.1</v>
      </c>
      <c r="L5" s="660" t="str">
        <f>IF(InpPerformance!L16&lt;&gt;"",InpPerformance!L16,"")</f>
        <v>PR19SES_C.4</v>
      </c>
      <c r="M5" s="660" t="str">
        <f>IF(InpPerformance!M16&lt;&gt;"",InpPerformance!M16,"")</f>
        <v/>
      </c>
      <c r="N5" s="660" t="str">
        <f>IF(InpPerformance!N16&lt;&gt;"",InpPerformance!N16,"")</f>
        <v>PR19SES_E.1</v>
      </c>
      <c r="O5" s="660" t="str">
        <f>IF(InpPerformance!O16&lt;&gt;"",InpPerformance!O16,"")</f>
        <v/>
      </c>
      <c r="P5" s="660" t="str">
        <f>IF(InpPerformance!P16&lt;&gt;"",InpPerformance!P16,"")</f>
        <v>PR19SES_A.2</v>
      </c>
      <c r="Q5" s="661" t="str">
        <f>IF(InpPerformance!Q16&lt;&gt;"",InpPerformance!Q16,"")</f>
        <v>PR19SES_C.3</v>
      </c>
      <c r="R5" s="660" t="str">
        <f>IF(InpPerformance!R16&lt;&gt;"",InpPerformance!R16,"")</f>
        <v>PR19SES_A.3</v>
      </c>
      <c r="S5" s="660" t="str">
        <f>IF(InpPerformance!S16&lt;&gt;"",InpPerformance!S16,"")</f>
        <v>PR19SES_B.1</v>
      </c>
      <c r="T5" s="660" t="str">
        <f>IF(InpPerformance!T16&lt;&gt;"",InpPerformance!T16,"")</f>
        <v>PR19SES_B.4</v>
      </c>
      <c r="U5" s="660" t="str">
        <f>IF(InpPerformance!U16&lt;&gt;"",InpPerformance!U16,"")</f>
        <v>PR19SES_D.1</v>
      </c>
      <c r="V5" s="660" t="str">
        <f>IF(InpPerformance!V16&lt;&gt;"",InpPerformance!V16,"")</f>
        <v>PR19SES_E.2</v>
      </c>
      <c r="W5" s="558" t="str">
        <f>IF(InpPerformance!W16&lt;&gt;"",InpPerformance!W16,"")</f>
        <v>PR19SES_E.6</v>
      </c>
      <c r="X5" s="558" t="str">
        <f>IF(InpPerformance!X16&lt;&gt;"",InpPerformance!X16,"")</f>
        <v>PR19SES_A.5</v>
      </c>
      <c r="Y5" s="558" t="str">
        <f>IF(InpPerformance!Y16&lt;&gt;"",InpPerformance!Y16,"")</f>
        <v>PR19SES_C.2</v>
      </c>
      <c r="Z5" s="558" t="str">
        <f>IF(InpPerformance!Z16&lt;&gt;"",InpPerformance!Z16,"")</f>
        <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Customer concerns about their water (taste, odour and discolouration contacts)</v>
      </c>
      <c r="S7" s="660" t="str">
        <f>IF(InpPerformance!S17&lt;&gt;"",InpPerformance!S17,"")</f>
        <v>Supporting customers in financial hardship</v>
      </c>
      <c r="T7" s="660" t="str">
        <f>IF(InpPerformance!T17&lt;&gt;"",InpPerformance!T17,"")</f>
        <v>Void properties</v>
      </c>
      <c r="U7" s="660" t="str">
        <f>IF(InpPerformance!U17&lt;&gt;"",InpPerformance!U17,"")</f>
        <v>First contact resolution</v>
      </c>
      <c r="V7" s="660" t="str">
        <f>IF(InpPerformance!V17&lt;&gt;"",InpPerformance!V17,"")</f>
        <v>Greenhouse gas emissions</v>
      </c>
      <c r="W7" s="558" t="str">
        <f>IF(InpPerformance!W17&lt;&gt;"",InpPerformance!W17,"")</f>
        <v>River based improvement - delivery of WINEP</v>
      </c>
      <c r="X7" s="558" t="str">
        <f>IF(InpPerformance!X17&lt;&gt;"",InpPerformance!X17,"")</f>
        <v>Water Softening</v>
      </c>
      <c r="Y7" s="558" t="str">
        <f>IF(InpPerformance!Y17&lt;&gt;"",InpPerformance!Y17,"")</f>
        <v>Risk of supply failures</v>
      </c>
      <c r="Z7" s="558" t="str">
        <f>IF(InpPerformance!Z17&lt;&gt;"",InpPerformance!Z17,"")</f>
        <v/>
      </c>
      <c r="AA7" s="558" t="str">
        <f>IF(InpPerformance!AA17&lt;&gt;"",InpPerformance!AA17,"")</f>
        <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v>
      </c>
      <c r="S9" s="1920">
        <f>IF(Performance!S174=0,0,Performance!S174)</f>
        <v>0</v>
      </c>
      <c r="T9" s="1920">
        <f>IF(Performance!T174=0,0,Performance!T174)</f>
        <v>5.0610000000000044E-2</v>
      </c>
      <c r="U9" s="1920">
        <f>IF(Performance!U174=0,0,Performance!U174)</f>
        <v>0</v>
      </c>
      <c r="V9" s="1920">
        <f>IF(Performance!V174=0,0,Performance!V174)</f>
        <v>0</v>
      </c>
      <c r="W9" s="1920">
        <f>IF(Performance!W174=0,0,Performance!W174)</f>
        <v>0</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-1.4499833333333334</v>
      </c>
      <c r="L10" s="1920">
        <f>IF(Performance!L179=0,0,Performance!L179)</f>
        <v>0</v>
      </c>
      <c r="M10" s="1920">
        <f>IF(Performance!M179=0,0,Performance!M179)</f>
        <v>0</v>
      </c>
      <c r="N10" s="665">
        <f>IF(Performance!N179=0,0,Performance!N179)</f>
        <v>-0.76559999999999995</v>
      </c>
      <c r="O10" s="1920">
        <f>IF(Performance!O179=0,0,Performance!O179)</f>
        <v>0</v>
      </c>
      <c r="P10" s="1920">
        <f>IF(Performance!P179=0,0,Performance!P179)</f>
        <v>-6.3799999999999968E-2</v>
      </c>
      <c r="Q10" s="1936">
        <f>IF(Performance!Q179=0,0,Performance!Q179)</f>
        <v>-0.29391999999999996</v>
      </c>
      <c r="R10" s="1920">
        <f>IF(Performance!R179=0,0,Performance!R179)</f>
        <v>-6.3679999999999973E-2</v>
      </c>
      <c r="S10" s="1920">
        <f>IF(Performance!S179=0,0,Performance!S179)</f>
        <v>0</v>
      </c>
      <c r="T10" s="1920">
        <f>IF(Performance!T179=0,0,Performance!T179)</f>
        <v>0</v>
      </c>
      <c r="U10" s="1920">
        <f>IF(Performance!U179=0,0,Performance!U179)</f>
        <v>0</v>
      </c>
      <c r="V10" s="1920">
        <f>IF(Performance!V179=0,0,Performance!V179)</f>
        <v>0</v>
      </c>
      <c r="W10" s="1920">
        <f>IF(Performance!W179=0,0,Performance!W179)</f>
        <v>-2.9750000000000002E-2</v>
      </c>
      <c r="X10" s="1920">
        <f>IF(Performance!X179=0,0,Performance!X179)</f>
        <v>-0.29327999999999999</v>
      </c>
      <c r="Y10" s="1920">
        <f>IF(Performance!Y179=0,0,Performance!Y179)</f>
        <v>-5.7600000000000005E-2</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YES</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v>
      </c>
      <c r="T16" s="668">
        <f>Performance!T185</f>
        <v>5.0610000000000044E-2</v>
      </c>
      <c r="U16" s="668">
        <f>Performance!U185</f>
        <v>0</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-1.4499833333333334</v>
      </c>
      <c r="L17" s="668">
        <f>Performance!L186</f>
        <v>0</v>
      </c>
      <c r="M17" s="668">
        <f>Performance!M186</f>
        <v>0</v>
      </c>
      <c r="N17" s="668">
        <f>Performance!N186</f>
        <v>0</v>
      </c>
      <c r="O17" s="668">
        <f>Performance!O186</f>
        <v>0</v>
      </c>
      <c r="P17" s="668">
        <f>Performance!P186</f>
        <v>-6.3799999999999968E-2</v>
      </c>
      <c r="Q17" s="669">
        <f>Performance!Q186</f>
        <v>-0.29391999999999996</v>
      </c>
      <c r="R17" s="668">
        <f>Performance!R186</f>
        <v>-6.3679999999999973E-2</v>
      </c>
      <c r="S17" s="668">
        <f>Performance!S186</f>
        <v>0</v>
      </c>
      <c r="T17" s="668">
        <f>Performance!T186</f>
        <v>0</v>
      </c>
      <c r="U17" s="668">
        <f>Performance!U186</f>
        <v>0</v>
      </c>
      <c r="V17" s="668">
        <f>Performance!V186</f>
        <v>0</v>
      </c>
      <c r="W17" s="549">
        <f>Performance!W186</f>
        <v>-2.9750000000000002E-2</v>
      </c>
      <c r="X17" s="549">
        <f>Performance!X186</f>
        <v>-0.29327999999999999</v>
      </c>
      <c r="Y17" s="549">
        <f>Performance!Y186</f>
        <v>-5.7600000000000005E-2</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-0.76559999999999995</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
      </c>
      <c r="AA25" s="628" t="str">
        <f>Performance!AA190</f>
        <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
      </c>
      <c r="AA26" s="628" t="str">
        <f>Performance!AA182</f>
        <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SES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PR19SES_A.4</v>
      </c>
      <c r="G7" s="1423" t="str" cm="1">
        <f t="array" ref="G7:G52">TRANSPOSE(Performance!J9:BC9)</f>
        <v>number</v>
      </c>
      <c r="H7" s="557"/>
      <c r="I7" s="557"/>
      <c r="J7" s="1424"/>
      <c r="K7" s="1424" cm="1">
        <f t="array" ref="K7:K52">TRANSPOSE(Performance!J7:BC7)</f>
        <v>0</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PR19SES_A.1</v>
      </c>
      <c r="G8" s="1423" t="str">
        <v>hh:mm:ss</v>
      </c>
      <c r="H8" s="557"/>
      <c r="I8" s="557"/>
      <c r="J8" s="1425"/>
      <c r="K8" s="1425">
        <v>1.8514506564393345E-2</v>
      </c>
      <c r="L8" s="1425" t="str">
        <v/>
      </c>
      <c r="M8" s="1425" t="str">
        <v/>
      </c>
      <c r="N8" s="1425" t="str">
        <v>No</v>
      </c>
      <c r="O8" s="1424"/>
      <c r="P8" s="1487">
        <v>-1.4499833333333334</v>
      </c>
    </row>
    <row r="9" spans="1:16">
      <c r="A9" s="560"/>
      <c r="B9" s="560"/>
      <c r="C9" s="431"/>
      <c r="D9" s="441"/>
      <c r="E9" s="1422" t="str">
        <v>Leakage</v>
      </c>
      <c r="F9" s="1423" t="str">
        <v>PR19SES_C.4</v>
      </c>
      <c r="G9" s="1423" t="str">
        <v>%</v>
      </c>
      <c r="H9" s="557"/>
      <c r="I9" s="557"/>
      <c r="J9" s="1424"/>
      <c r="K9" s="1424">
        <v>15.873015873015872</v>
      </c>
      <c r="L9" s="1424" t="str">
        <v>YES</v>
      </c>
      <c r="M9" s="1424" t="str">
        <v/>
      </c>
      <c r="N9" s="1424" t="str">
        <v>No</v>
      </c>
      <c r="O9" s="1424"/>
      <c r="P9" s="1487">
        <v>0</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PR19SES_E.1</v>
      </c>
      <c r="G11" s="1423" t="str">
        <v xml:space="preserve">% </v>
      </c>
      <c r="H11" s="557"/>
      <c r="I11" s="557"/>
      <c r="J11" s="1424"/>
      <c r="K11" s="1424">
        <v>0.7382550335570448</v>
      </c>
      <c r="L11" s="1424" t="str">
        <v/>
      </c>
      <c r="M11" s="1424" t="str">
        <v/>
      </c>
      <c r="N11" s="1424" t="str">
        <v>No</v>
      </c>
      <c r="O11" s="1424"/>
      <c r="P11" s="1487">
        <v>-0.76559999999999995</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PR19SES_A.2</v>
      </c>
      <c r="G13" s="1423" t="str">
        <v>number</v>
      </c>
      <c r="H13" s="557"/>
      <c r="I13" s="557"/>
      <c r="J13" s="1424"/>
      <c r="K13" s="1424">
        <v>61.868543535021004</v>
      </c>
      <c r="L13" s="1424" t="str">
        <v/>
      </c>
      <c r="M13" s="1424" t="str">
        <v/>
      </c>
      <c r="N13" s="1424" t="str">
        <v>No</v>
      </c>
      <c r="O13" s="1424"/>
      <c r="P13" s="1487">
        <v>-6.3799999999999968E-2</v>
      </c>
    </row>
    <row r="14" spans="1:16">
      <c r="A14" s="560"/>
      <c r="B14" s="560"/>
      <c r="C14" s="431"/>
      <c r="D14" s="441"/>
      <c r="E14" s="1422" t="str">
        <v>Unplanned outage</v>
      </c>
      <c r="F14" s="1423" t="str">
        <v>PR19SES_C.3</v>
      </c>
      <c r="G14" s="1423" t="str">
        <v>%</v>
      </c>
      <c r="H14" s="557"/>
      <c r="I14" s="557"/>
      <c r="J14" s="1424"/>
      <c r="K14" s="1424">
        <v>4.0073679901760126</v>
      </c>
      <c r="L14" s="1424" t="str">
        <v/>
      </c>
      <c r="M14" s="1424" t="str">
        <v/>
      </c>
      <c r="N14" s="1424" t="str">
        <v>No</v>
      </c>
      <c r="O14" s="1424"/>
      <c r="P14" s="1487">
        <v>-0.29391999999999996</v>
      </c>
    </row>
    <row r="15" spans="1:16">
      <c r="A15" s="560"/>
      <c r="B15" s="560"/>
      <c r="C15" s="431"/>
      <c r="D15" s="441"/>
      <c r="E15" s="1422" t="str">
        <v>Customer concerns about their water (taste, odour and discolouration contacts)</v>
      </c>
      <c r="F15" s="1423" t="str">
        <v>PR19SES_A.3</v>
      </c>
      <c r="G15" s="1423" t="str">
        <v>nr</v>
      </c>
      <c r="H15" s="557"/>
      <c r="I15" s="557"/>
      <c r="J15" s="1426"/>
      <c r="K15" s="1486">
        <v>0.57999999999999996</v>
      </c>
      <c r="L15" s="1426" t="str">
        <v/>
      </c>
      <c r="M15" s="1426" t="str">
        <v/>
      </c>
      <c r="N15" s="1426" t="str">
        <v>No</v>
      </c>
      <c r="O15" s="1424"/>
      <c r="P15" s="2361">
        <v>-6.3679999999999973E-2</v>
      </c>
    </row>
    <row r="16" spans="1:16">
      <c r="A16" s="560"/>
      <c r="B16" s="560"/>
      <c r="C16" s="431"/>
      <c r="D16" s="441"/>
      <c r="E16" s="1422" t="str">
        <v>Supporting customers in financial hardship</v>
      </c>
      <c r="F16" s="1423" t="str">
        <v>PR19SES_B.1</v>
      </c>
      <c r="G16" s="1423" t="str">
        <v>nr</v>
      </c>
      <c r="H16" s="557"/>
      <c r="I16" s="557"/>
      <c r="J16" s="1426"/>
      <c r="K16" s="1426">
        <v>25379</v>
      </c>
      <c r="L16" s="1426" t="str">
        <v/>
      </c>
      <c r="M16" s="1426" t="str">
        <v/>
      </c>
      <c r="N16" s="1426" t="str">
        <v>No</v>
      </c>
      <c r="O16" s="1424"/>
      <c r="P16" s="2361">
        <v>0</v>
      </c>
    </row>
    <row r="17" spans="1:16">
      <c r="A17" s="560"/>
      <c r="B17" s="560"/>
      <c r="C17" s="431"/>
      <c r="D17" s="441"/>
      <c r="E17" s="1422" t="str">
        <v>Void properties</v>
      </c>
      <c r="F17" s="1423" t="str">
        <v>PR19SES_B.4</v>
      </c>
      <c r="G17" s="1423" t="str">
        <v>%</v>
      </c>
      <c r="H17" s="557"/>
      <c r="I17" s="557"/>
      <c r="J17" s="1426"/>
      <c r="K17" s="1426">
        <v>1.99</v>
      </c>
      <c r="L17" s="1426" t="str">
        <v/>
      </c>
      <c r="M17" s="1426" t="str">
        <v/>
      </c>
      <c r="N17" s="1426" t="str">
        <v>No</v>
      </c>
      <c r="O17" s="1424"/>
      <c r="P17" s="2361">
        <v>5.0610000000000044E-2</v>
      </c>
    </row>
    <row r="18" spans="1:16">
      <c r="A18" s="560"/>
      <c r="B18" s="560"/>
      <c r="C18" s="431"/>
      <c r="D18" s="441"/>
      <c r="E18" s="1422" t="str">
        <v>First contact resolution</v>
      </c>
      <c r="F18" s="1423" t="str">
        <v>PR19SES_D.1</v>
      </c>
      <c r="G18" s="1423" t="str">
        <v>%</v>
      </c>
      <c r="H18" s="557"/>
      <c r="I18" s="557"/>
      <c r="J18" s="1426"/>
      <c r="K18" s="1426">
        <v>90.68</v>
      </c>
      <c r="L18" s="1426" t="str">
        <v/>
      </c>
      <c r="M18" s="1426" t="str">
        <v/>
      </c>
      <c r="N18" s="1426" t="str">
        <v>No</v>
      </c>
      <c r="O18" s="1424"/>
      <c r="P18" s="2361">
        <v>0</v>
      </c>
    </row>
    <row r="19" spans="1:16">
      <c r="A19" s="560"/>
      <c r="B19" s="560"/>
      <c r="C19" s="431"/>
      <c r="D19" s="441"/>
      <c r="E19" s="1422" t="str">
        <v>Greenhouse gas emissions</v>
      </c>
      <c r="F19" s="1423" t="str">
        <v>PR19SES_E.2</v>
      </c>
      <c r="G19" s="1423" t="str">
        <v>nr</v>
      </c>
      <c r="H19" s="557"/>
      <c r="I19" s="557"/>
      <c r="J19" s="1426"/>
      <c r="K19" s="1426">
        <v>38</v>
      </c>
      <c r="L19" s="1426" t="str">
        <v/>
      </c>
      <c r="M19" s="1426" t="str">
        <v/>
      </c>
      <c r="N19" s="1426" t="str">
        <v>No</v>
      </c>
      <c r="O19" s="1424"/>
      <c r="P19" s="2361">
        <v>0</v>
      </c>
    </row>
    <row r="20" spans="1:16">
      <c r="A20" s="560"/>
      <c r="B20" s="560"/>
      <c r="C20" s="431"/>
      <c r="D20" s="441"/>
      <c r="E20" s="1422" t="str">
        <v>River based improvement - delivery of WINEP</v>
      </c>
      <c r="F20" s="1423" t="str">
        <v>PR19SES_E.6</v>
      </c>
      <c r="G20" s="1423" t="str">
        <v>nr</v>
      </c>
      <c r="H20" s="557"/>
      <c r="I20" s="557"/>
      <c r="J20" s="1426"/>
      <c r="K20" s="1426">
        <v>17</v>
      </c>
      <c r="L20" s="1426" t="str">
        <v/>
      </c>
      <c r="M20" s="1426" t="str">
        <v/>
      </c>
      <c r="N20" s="1426" t="str">
        <v>No</v>
      </c>
      <c r="O20" s="1424"/>
      <c r="P20" s="2361">
        <v>-2.9750000000000002E-2</v>
      </c>
    </row>
    <row r="21" spans="1:16">
      <c r="A21" s="560"/>
      <c r="B21" s="560"/>
      <c r="C21" s="431"/>
      <c r="D21" s="441"/>
      <c r="E21" s="1422" t="str">
        <v>Water Softening</v>
      </c>
      <c r="F21" s="1423" t="str">
        <v>PR19SES_A.5</v>
      </c>
      <c r="G21" s="1423" t="str">
        <v>nr</v>
      </c>
      <c r="H21" s="557"/>
      <c r="I21" s="557"/>
      <c r="J21" s="1426"/>
      <c r="K21" s="1426">
        <v>10.4</v>
      </c>
      <c r="L21" s="1426" t="str">
        <v/>
      </c>
      <c r="M21" s="1426" t="str">
        <v/>
      </c>
      <c r="N21" s="1426" t="str">
        <v>No</v>
      </c>
      <c r="O21" s="1424"/>
      <c r="P21" s="2361">
        <v>-0.29327999999999999</v>
      </c>
    </row>
    <row r="22" spans="1:16">
      <c r="A22" s="560"/>
      <c r="B22" s="560"/>
      <c r="C22" s="431"/>
      <c r="D22" s="441"/>
      <c r="E22" s="1422" t="str">
        <v>Risk of supply failures</v>
      </c>
      <c r="F22" s="1423" t="str">
        <v>PR19SES_C.2</v>
      </c>
      <c r="G22" s="1423" t="str">
        <v>%</v>
      </c>
      <c r="H22" s="557"/>
      <c r="I22" s="557"/>
      <c r="J22" s="1426"/>
      <c r="K22" s="1426">
        <v>91</v>
      </c>
      <c r="L22" s="1426" t="str">
        <v/>
      </c>
      <c r="M22" s="1426" t="str">
        <v/>
      </c>
      <c r="N22" s="1426" t="str">
        <v>No</v>
      </c>
      <c r="O22" s="1424"/>
      <c r="P22" s="2361">
        <v>-5.7600000000000005E-2</v>
      </c>
    </row>
    <row r="23" spans="1:16">
      <c r="A23" s="560"/>
      <c r="B23" s="560"/>
      <c r="C23" s="431"/>
      <c r="D23" s="441"/>
      <c r="E23" s="1422" t="str">
        <v/>
      </c>
      <c r="F23" s="1423" t="str">
        <v/>
      </c>
      <c r="G23" s="1423" t="str">
        <v/>
      </c>
      <c r="H23" s="557"/>
      <c r="I23" s="557"/>
      <c r="J23" s="1426"/>
      <c r="K23" s="1426" t="str">
        <v/>
      </c>
      <c r="L23" s="1426" t="str">
        <v/>
      </c>
      <c r="M23" s="1426" t="str">
        <v/>
      </c>
      <c r="N23" s="1426" t="str">
        <v>No</v>
      </c>
      <c r="O23" s="1424"/>
      <c r="P23" s="2361">
        <v>0</v>
      </c>
    </row>
    <row r="24" spans="1:16">
      <c r="A24" s="560"/>
      <c r="B24" s="560"/>
      <c r="C24" s="431"/>
      <c r="D24" s="441"/>
      <c r="E24" s="1422" t="str">
        <v/>
      </c>
      <c r="F24" s="1423" t="str">
        <v/>
      </c>
      <c r="G24" s="1423" t="str">
        <v/>
      </c>
      <c r="H24" s="557"/>
      <c r="I24" s="557"/>
      <c r="J24" s="1426"/>
      <c r="K24" s="1426" t="str">
        <v/>
      </c>
      <c r="L24" s="1426" t="str">
        <v/>
      </c>
      <c r="M24" s="1426" t="str">
        <v/>
      </c>
      <c r="N24" s="1426" t="str">
        <v>No</v>
      </c>
      <c r="O24" s="1424"/>
      <c r="P24" s="2361">
        <v>0</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1">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1">
        <v>0</v>
      </c>
    </row>
    <row r="27" spans="1:16" ht="14.5">
      <c r="A27" s="1356"/>
      <c r="B27" s="1356"/>
      <c r="C27" s="1356"/>
      <c r="D27" s="1356"/>
      <c r="E27" s="1491" t="str">
        <v/>
      </c>
      <c r="F27" s="1491" t="str">
        <v/>
      </c>
      <c r="G27" s="1491" t="str">
        <v/>
      </c>
      <c r="H27" s="433"/>
      <c r="I27" s="433"/>
      <c r="J27" s="1427"/>
      <c r="K27" s="1427" t="str">
        <v/>
      </c>
      <c r="L27" s="1427" t="str">
        <v/>
      </c>
      <c r="M27" s="1427" t="str">
        <v/>
      </c>
      <c r="N27" s="1427" t="str">
        <v>No</v>
      </c>
      <c r="O27" s="1424"/>
      <c r="P27" s="2362">
        <v>0</v>
      </c>
    </row>
    <row r="28" spans="1:16" ht="14.5">
      <c r="A28" s="1356"/>
      <c r="B28" s="1356"/>
      <c r="C28" s="1356"/>
      <c r="D28" s="1356"/>
      <c r="E28" s="1491" t="str">
        <v/>
      </c>
      <c r="F28" s="1491" t="str">
        <v/>
      </c>
      <c r="G28" s="1491" t="str">
        <v/>
      </c>
      <c r="H28" s="433"/>
      <c r="I28" s="433"/>
      <c r="J28" s="1427"/>
      <c r="K28" s="1427" t="str">
        <v/>
      </c>
      <c r="L28" s="1427" t="str">
        <v/>
      </c>
      <c r="M28" s="1427" t="str">
        <v/>
      </c>
      <c r="N28" s="1427" t="str">
        <v>No</v>
      </c>
      <c r="O28" s="1424"/>
      <c r="P28" s="2362">
        <v>0</v>
      </c>
    </row>
    <row r="29" spans="1:16" ht="14.5">
      <c r="A29" s="1356"/>
      <c r="B29" s="1356"/>
      <c r="C29" s="1356"/>
      <c r="D29" s="1356"/>
      <c r="E29" s="1491" t="str">
        <v/>
      </c>
      <c r="F29" s="1491" t="str">
        <v/>
      </c>
      <c r="G29" s="1491" t="str">
        <v/>
      </c>
      <c r="H29" s="433"/>
      <c r="I29" s="433"/>
      <c r="J29" s="1427"/>
      <c r="K29" s="1427" t="str">
        <v/>
      </c>
      <c r="L29" s="1427" t="str">
        <v/>
      </c>
      <c r="M29" s="1427" t="str">
        <v/>
      </c>
      <c r="N29" s="1427" t="str">
        <v>No</v>
      </c>
      <c r="O29" s="1424"/>
      <c r="P29" s="2362">
        <v>0</v>
      </c>
    </row>
    <row r="30" spans="1:16" ht="14.5">
      <c r="A30" s="1356"/>
      <c r="B30" s="1356"/>
      <c r="C30" s="1356"/>
      <c r="D30" s="1356"/>
      <c r="E30" s="1491" t="str">
        <v/>
      </c>
      <c r="F30" s="1491" t="str">
        <v/>
      </c>
      <c r="G30" s="1491" t="str">
        <v/>
      </c>
      <c r="H30" s="433"/>
      <c r="I30" s="433"/>
      <c r="J30" s="1427"/>
      <c r="K30" s="1427" t="str">
        <v/>
      </c>
      <c r="L30" s="1427" t="str">
        <v/>
      </c>
      <c r="M30" s="1427" t="str">
        <v/>
      </c>
      <c r="N30" s="1427" t="str">
        <v>No</v>
      </c>
      <c r="O30" s="1424"/>
      <c r="P30" s="2362">
        <v>0</v>
      </c>
    </row>
    <row r="31" spans="1:16" ht="14.5">
      <c r="A31" s="1356"/>
      <c r="B31" s="1356"/>
      <c r="C31" s="1356"/>
      <c r="D31" s="1356"/>
      <c r="E31" s="1491" t="str">
        <v/>
      </c>
      <c r="F31" s="1491" t="str">
        <v/>
      </c>
      <c r="G31" s="1491" t="str">
        <v/>
      </c>
      <c r="H31" s="433"/>
      <c r="I31" s="433"/>
      <c r="J31" s="1427"/>
      <c r="K31" s="1427" t="str">
        <v/>
      </c>
      <c r="L31" s="1427" t="str">
        <v/>
      </c>
      <c r="M31" s="1427" t="str">
        <v/>
      </c>
      <c r="N31" s="1427" t="str">
        <v>No</v>
      </c>
      <c r="O31" s="1424"/>
      <c r="P31" s="2362">
        <v>0</v>
      </c>
    </row>
    <row r="32" spans="1:16" ht="14.5">
      <c r="A32" s="1356"/>
      <c r="B32" s="1356"/>
      <c r="C32" s="1356"/>
      <c r="D32" s="1356"/>
      <c r="E32" s="1491" t="str">
        <v/>
      </c>
      <c r="F32" s="1491" t="str">
        <v/>
      </c>
      <c r="G32" s="1491" t="str">
        <v/>
      </c>
      <c r="H32" s="433"/>
      <c r="I32" s="433"/>
      <c r="J32" s="1427"/>
      <c r="K32" s="1427" t="str">
        <v/>
      </c>
      <c r="L32" s="1427" t="str">
        <v/>
      </c>
      <c r="M32" s="1427" t="str">
        <v/>
      </c>
      <c r="N32" s="1427" t="str">
        <v>No</v>
      </c>
      <c r="O32" s="1424"/>
      <c r="P32" s="2362">
        <v>0</v>
      </c>
    </row>
    <row r="33" spans="1:16" ht="14.5">
      <c r="A33" s="1356"/>
      <c r="B33" s="1356"/>
      <c r="C33" s="1356"/>
      <c r="D33" s="1356"/>
      <c r="E33" s="1491" t="str">
        <v/>
      </c>
      <c r="F33" s="1491" t="str">
        <v/>
      </c>
      <c r="G33" s="1491" t="str">
        <v/>
      </c>
      <c r="H33" s="433"/>
      <c r="I33" s="433"/>
      <c r="J33" s="1427"/>
      <c r="K33" s="1427" t="str">
        <v/>
      </c>
      <c r="L33" s="1427" t="str">
        <v/>
      </c>
      <c r="M33" s="1427" t="str">
        <v/>
      </c>
      <c r="N33" s="1427" t="str">
        <v>No</v>
      </c>
      <c r="O33" s="1424"/>
      <c r="P33" s="2362">
        <v>0</v>
      </c>
    </row>
    <row r="34" spans="1:16" ht="14.5">
      <c r="A34" s="1356"/>
      <c r="B34" s="1356"/>
      <c r="C34" s="1356"/>
      <c r="D34" s="1356"/>
      <c r="E34" s="1491" t="str">
        <v/>
      </c>
      <c r="F34" s="1491" t="str">
        <v/>
      </c>
      <c r="G34" s="1491" t="str">
        <v/>
      </c>
      <c r="H34" s="433"/>
      <c r="I34" s="433"/>
      <c r="J34" s="1427"/>
      <c r="K34" s="1427" t="str">
        <v/>
      </c>
      <c r="L34" s="1427" t="str">
        <v/>
      </c>
      <c r="M34" s="1427" t="str">
        <v/>
      </c>
      <c r="N34" s="1427" t="str">
        <v>No</v>
      </c>
      <c r="O34" s="1424"/>
      <c r="P34" s="2362">
        <v>0</v>
      </c>
    </row>
    <row r="35" spans="1:16" ht="14.5">
      <c r="A35" s="650" t="s">
        <v>668</v>
      </c>
      <c r="B35" s="1356"/>
      <c r="C35" s="1356"/>
      <c r="D35" s="1356"/>
      <c r="E35" s="1491" t="str">
        <v/>
      </c>
      <c r="F35" s="1491" t="str">
        <v/>
      </c>
      <c r="G35" s="1491" t="str">
        <v/>
      </c>
      <c r="H35" s="433"/>
      <c r="I35" s="433"/>
      <c r="J35" s="1427"/>
      <c r="K35" s="1427" t="str">
        <v/>
      </c>
      <c r="L35" s="1427" t="str">
        <v/>
      </c>
      <c r="M35" s="1427" t="str">
        <v/>
      </c>
      <c r="N35" s="1427" t="str">
        <v>No</v>
      </c>
      <c r="O35" s="1424"/>
      <c r="P35" s="2362">
        <v>0</v>
      </c>
    </row>
    <row r="36" spans="1:16" ht="14.5">
      <c r="A36" s="1356"/>
      <c r="B36" s="1356"/>
      <c r="C36" s="1356"/>
      <c r="D36" s="1356"/>
      <c r="E36" s="1491" t="str">
        <v/>
      </c>
      <c r="F36" s="1491" t="str">
        <v/>
      </c>
      <c r="G36" s="1491" t="str">
        <v/>
      </c>
      <c r="H36" s="433"/>
      <c r="I36" s="433"/>
      <c r="J36" s="1427"/>
      <c r="K36" s="1427" t="str">
        <v/>
      </c>
      <c r="L36" s="1427" t="str">
        <v/>
      </c>
      <c r="M36" s="1427" t="str">
        <v/>
      </c>
      <c r="N36" s="1427" t="str">
        <v>No</v>
      </c>
      <c r="O36" s="1424"/>
      <c r="P36" s="2362">
        <v>0</v>
      </c>
    </row>
    <row r="37" spans="1:16" ht="14.5">
      <c r="A37" s="1356"/>
      <c r="B37" s="1356"/>
      <c r="C37" s="1356"/>
      <c r="D37" s="1356"/>
      <c r="E37" s="1491" t="str">
        <v/>
      </c>
      <c r="F37" s="1491" t="str">
        <v/>
      </c>
      <c r="G37" s="1491" t="str">
        <v/>
      </c>
      <c r="H37" s="433"/>
      <c r="I37" s="433"/>
      <c r="J37" s="1427"/>
      <c r="K37" s="1427" t="str">
        <v/>
      </c>
      <c r="L37" s="1427" t="str">
        <v/>
      </c>
      <c r="M37" s="1427" t="str">
        <v/>
      </c>
      <c r="N37" s="1427" t="str">
        <v>No</v>
      </c>
      <c r="O37" s="1424"/>
      <c r="P37" s="2362">
        <v>0</v>
      </c>
    </row>
    <row r="38" spans="1:16" ht="14.5">
      <c r="A38" s="1356"/>
      <c r="B38" s="1356"/>
      <c r="C38" s="1356"/>
      <c r="D38" s="1356"/>
      <c r="E38" s="1491" t="str">
        <v/>
      </c>
      <c r="F38" s="1491" t="str">
        <v/>
      </c>
      <c r="G38" s="1491" t="str">
        <v/>
      </c>
      <c r="H38" s="433"/>
      <c r="I38" s="433"/>
      <c r="J38" s="1427"/>
      <c r="K38" s="1427" t="str">
        <v/>
      </c>
      <c r="L38" s="1427" t="str">
        <v/>
      </c>
      <c r="M38" s="1427" t="str">
        <v/>
      </c>
      <c r="N38" s="1427" t="str">
        <v>No</v>
      </c>
      <c r="O38" s="1424"/>
      <c r="P38" s="2362">
        <v>0</v>
      </c>
    </row>
    <row r="39" spans="1:16" ht="14.5">
      <c r="A39" s="1356"/>
      <c r="B39" s="1356"/>
      <c r="C39" s="1356"/>
      <c r="D39" s="1356"/>
      <c r="E39" s="1491" t="str">
        <v/>
      </c>
      <c r="F39" s="1491" t="str">
        <v/>
      </c>
      <c r="G39" s="1491" t="str">
        <v/>
      </c>
      <c r="H39" s="433"/>
      <c r="I39" s="433"/>
      <c r="J39" s="1427"/>
      <c r="K39" s="1427" t="str">
        <v/>
      </c>
      <c r="L39" s="1427" t="str">
        <v/>
      </c>
      <c r="M39" s="1427" t="str">
        <v/>
      </c>
      <c r="N39" s="1427" t="str">
        <v>No</v>
      </c>
      <c r="O39" s="1424"/>
      <c r="P39" s="2362">
        <v>0</v>
      </c>
    </row>
    <row r="40" spans="1:16" ht="14.5">
      <c r="A40" s="1356"/>
      <c r="B40" s="1356"/>
      <c r="C40" s="1356"/>
      <c r="D40" s="1356"/>
      <c r="E40" s="1423" t="str">
        <v/>
      </c>
      <c r="F40" s="1491" t="str">
        <v/>
      </c>
      <c r="G40" s="1423" t="str">
        <v/>
      </c>
      <c r="H40" s="433"/>
      <c r="I40" s="433"/>
      <c r="J40" s="1427"/>
      <c r="K40" s="1427" t="str">
        <v/>
      </c>
      <c r="L40" s="1427" t="str">
        <v/>
      </c>
      <c r="M40" s="1427" t="str">
        <v/>
      </c>
      <c r="N40" s="1427" t="str">
        <v>No</v>
      </c>
      <c r="O40" s="1424"/>
      <c r="P40" s="2362">
        <v>0</v>
      </c>
    </row>
    <row r="41" spans="1:16" ht="14.5">
      <c r="A41" s="1356"/>
      <c r="B41" s="1356"/>
      <c r="C41" s="1356"/>
      <c r="D41" s="1356"/>
      <c r="E41" s="1423" t="str">
        <v/>
      </c>
      <c r="F41" s="1491" t="str">
        <v/>
      </c>
      <c r="G41" s="1423" t="str">
        <v/>
      </c>
      <c r="H41" s="433"/>
      <c r="I41" s="433"/>
      <c r="J41" s="1427"/>
      <c r="K41" s="1427" t="str">
        <v/>
      </c>
      <c r="L41" s="1427" t="str">
        <v/>
      </c>
      <c r="M41" s="1427" t="str">
        <v/>
      </c>
      <c r="N41" s="1427" t="str">
        <v>No</v>
      </c>
      <c r="O41" s="1424"/>
      <c r="P41" s="2362">
        <v>0</v>
      </c>
    </row>
    <row r="42" spans="1:16" ht="14.5">
      <c r="A42" s="1356"/>
      <c r="B42" s="1356"/>
      <c r="C42" s="1356"/>
      <c r="D42" s="1356"/>
      <c r="E42" s="1423" t="str">
        <v/>
      </c>
      <c r="F42" s="1491" t="str">
        <v/>
      </c>
      <c r="G42" s="1423" t="str">
        <v/>
      </c>
      <c r="H42" s="433"/>
      <c r="I42" s="433"/>
      <c r="J42" s="1427"/>
      <c r="K42" s="1427" t="str">
        <v/>
      </c>
      <c r="L42" s="1427" t="str">
        <v/>
      </c>
      <c r="M42" s="1427" t="str">
        <v/>
      </c>
      <c r="N42" s="1427" t="str">
        <v>No</v>
      </c>
      <c r="O42" s="1424"/>
      <c r="P42" s="2362">
        <v>0</v>
      </c>
    </row>
    <row r="43" spans="1:16" ht="14.5">
      <c r="A43" s="1356"/>
      <c r="B43" s="1356"/>
      <c r="C43" s="1356"/>
      <c r="D43" s="1356"/>
      <c r="E43" s="1423" t="str">
        <v/>
      </c>
      <c r="F43" s="1491" t="str">
        <v/>
      </c>
      <c r="G43" s="1423" t="str">
        <v/>
      </c>
      <c r="H43" s="433"/>
      <c r="I43" s="433"/>
      <c r="J43" s="1427"/>
      <c r="K43" s="1427" t="str">
        <v/>
      </c>
      <c r="L43" s="1427" t="str">
        <v/>
      </c>
      <c r="M43" s="1427" t="str">
        <v/>
      </c>
      <c r="N43" s="1427" t="str">
        <v>No</v>
      </c>
      <c r="O43" s="1424"/>
      <c r="P43" s="2362">
        <v>0</v>
      </c>
    </row>
    <row r="44" spans="1:16" ht="14.5">
      <c r="A44" s="1356"/>
      <c r="B44" s="1356"/>
      <c r="C44" s="1356"/>
      <c r="D44" s="1356"/>
      <c r="E44" s="1423" t="str">
        <v/>
      </c>
      <c r="F44" s="1491" t="str">
        <v/>
      </c>
      <c r="G44" s="1423" t="str">
        <v/>
      </c>
      <c r="H44" s="433"/>
      <c r="I44" s="433"/>
      <c r="J44" s="1427"/>
      <c r="K44" s="1427" t="str">
        <v/>
      </c>
      <c r="L44" s="1427" t="str">
        <v/>
      </c>
      <c r="M44" s="1427" t="str">
        <v/>
      </c>
      <c r="N44" s="1427" t="str">
        <v>No</v>
      </c>
      <c r="O44" s="1424"/>
      <c r="P44" s="2362">
        <v>0</v>
      </c>
    </row>
    <row r="45" spans="1:16" ht="14.5">
      <c r="A45" s="1356"/>
      <c r="B45" s="1356"/>
      <c r="C45" s="1356"/>
      <c r="D45" s="1356"/>
      <c r="E45" s="1423" t="str">
        <v/>
      </c>
      <c r="F45" s="1491" t="str">
        <v/>
      </c>
      <c r="G45" s="1423" t="str">
        <v/>
      </c>
      <c r="H45" s="433"/>
      <c r="I45" s="433"/>
      <c r="J45" s="1427"/>
      <c r="K45" s="1427" t="str">
        <v/>
      </c>
      <c r="L45" s="1427" t="str">
        <v/>
      </c>
      <c r="M45" s="1427" t="str">
        <v/>
      </c>
      <c r="N45" s="1427" t="str">
        <v>No</v>
      </c>
      <c r="O45" s="1424"/>
      <c r="P45" s="2362">
        <v>0</v>
      </c>
    </row>
    <row r="46" spans="1:16" ht="14.5">
      <c r="A46" s="1356"/>
      <c r="B46" s="1356"/>
      <c r="C46" s="1356"/>
      <c r="D46" s="1356"/>
      <c r="E46" s="1423" t="str">
        <v/>
      </c>
      <c r="F46" s="1491" t="str">
        <v/>
      </c>
      <c r="G46" s="1423" t="str">
        <v/>
      </c>
      <c r="H46" s="433"/>
      <c r="I46" s="433"/>
      <c r="J46" s="1427"/>
      <c r="K46" s="1427" t="str">
        <v/>
      </c>
      <c r="L46" s="1427" t="str">
        <v/>
      </c>
      <c r="M46" s="1427" t="str">
        <v/>
      </c>
      <c r="N46" s="1427" t="str">
        <v>No</v>
      </c>
      <c r="O46" s="1424"/>
      <c r="P46" s="2362">
        <v>0</v>
      </c>
    </row>
    <row r="47" spans="1:16" ht="14.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5">
      <c r="A49" s="1356"/>
      <c r="B49" s="1356"/>
      <c r="C49" s="1356"/>
      <c r="D49" s="1356"/>
      <c r="E49" s="1423" t="str">
        <v/>
      </c>
      <c r="F49" s="1491" t="str">
        <v/>
      </c>
      <c r="G49" s="1423" t="str">
        <v/>
      </c>
      <c r="H49" s="433"/>
      <c r="I49" s="433"/>
      <c r="J49" s="1427"/>
      <c r="K49" s="1427" t="str">
        <v/>
      </c>
      <c r="L49" s="1427" t="str">
        <v/>
      </c>
      <c r="M49" s="1427" t="str">
        <v/>
      </c>
      <c r="N49" s="1427" t="str">
        <v>No</v>
      </c>
      <c r="O49" s="1424"/>
      <c r="P49" s="2362">
        <v>0</v>
      </c>
    </row>
    <row r="50" spans="1:16" ht="14.5">
      <c r="A50" s="1356"/>
      <c r="B50" s="1356"/>
      <c r="C50" s="1356"/>
      <c r="D50" s="1356"/>
      <c r="E50" s="1423" t="str">
        <v/>
      </c>
      <c r="F50" s="1491" t="str">
        <v/>
      </c>
      <c r="G50" s="1423" t="str">
        <v/>
      </c>
      <c r="H50" s="433"/>
      <c r="I50" s="433"/>
      <c r="J50" s="1427"/>
      <c r="K50" s="1427" t="str">
        <v/>
      </c>
      <c r="L50" s="1427" t="str">
        <v/>
      </c>
      <c r="M50" s="1427" t="str">
        <v/>
      </c>
      <c r="N50" s="1427" t="str">
        <v>No</v>
      </c>
      <c r="O50" s="1424"/>
      <c r="P50" s="2362">
        <v>0</v>
      </c>
    </row>
    <row r="51" spans="1:16" ht="14.5">
      <c r="A51" s="1356"/>
      <c r="B51" s="1356"/>
      <c r="C51" s="1356"/>
      <c r="D51" s="1356"/>
      <c r="E51" s="1423" t="str">
        <v/>
      </c>
      <c r="F51" s="1491" t="str">
        <v/>
      </c>
      <c r="G51" s="1423" t="str">
        <v/>
      </c>
      <c r="H51" s="433"/>
      <c r="I51" s="433"/>
      <c r="J51" s="1427"/>
      <c r="K51" s="1427" t="str">
        <v/>
      </c>
      <c r="L51" s="1427" t="str">
        <v/>
      </c>
      <c r="M51" s="1427" t="str">
        <v/>
      </c>
      <c r="N51" s="1427" t="str">
        <v>No</v>
      </c>
      <c r="O51" s="1424"/>
      <c r="P51" s="2362">
        <v>0</v>
      </c>
    </row>
    <row r="52" spans="1:16" ht="14.5">
      <c r="A52" s="1356"/>
      <c r="B52" s="1356"/>
      <c r="C52" s="1356"/>
      <c r="D52" s="1356"/>
      <c r="E52" s="1423" t="str">
        <v/>
      </c>
      <c r="F52" s="1491" t="str">
        <v/>
      </c>
      <c r="G52" s="1423" t="str">
        <v/>
      </c>
      <c r="H52" s="433"/>
      <c r="I52" s="433"/>
      <c r="J52" s="1427"/>
      <c r="K52" s="1427" t="str">
        <v/>
      </c>
      <c r="L52" s="1427" t="str">
        <v/>
      </c>
      <c r="M52" s="1427" t="str">
        <v/>
      </c>
      <c r="N52" s="1427" t="str">
        <v>No</v>
      </c>
      <c r="O52" s="1424"/>
      <c r="P52" s="2362">
        <v>0</v>
      </c>
    </row>
    <row r="53" spans="1:16" ht="14.5">
      <c r="A53" s="1356"/>
      <c r="B53" s="1356"/>
      <c r="C53" s="1356"/>
      <c r="D53" s="1356"/>
      <c r="E53" s="1342"/>
      <c r="F53" s="1356"/>
      <c r="G53" s="1342"/>
      <c r="H53" s="1356"/>
      <c r="I53" s="1356"/>
      <c r="J53" s="1356"/>
      <c r="K53" s="1359"/>
      <c r="L53" s="165"/>
      <c r="M53" s="165"/>
      <c r="N53" s="165"/>
      <c r="O53" s="165"/>
      <c r="P53" s="165"/>
    </row>
    <row r="54" spans="1:16" ht="20.5">
      <c r="A54" s="417" t="s">
        <v>627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11" sqref="F11"/>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SES Water</v>
      </c>
      <c r="I1" s="238"/>
      <c r="J1" s="612" t="str">
        <f>VLOOKUP($H$1,Validation!$B$5:$C$22,2,0)</f>
        <v>SES</v>
      </c>
      <c r="K1" s="238"/>
      <c r="L1" s="238"/>
      <c r="M1" s="238"/>
    </row>
    <row r="2" spans="1:13" s="195" customFormat="1" ht="13">
      <c r="A2" s="431"/>
      <c r="B2" s="431"/>
      <c r="C2" s="431"/>
      <c r="D2" s="431"/>
      <c r="E2" s="431"/>
      <c r="F2" s="440" t="s">
        <v>784</v>
      </c>
      <c r="G2" s="440" t="s">
        <v>139</v>
      </c>
      <c r="H2" s="440" t="s">
        <v>845</v>
      </c>
      <c r="I2" s="431"/>
      <c r="J2" s="1901" t="s">
        <v>660</v>
      </c>
      <c r="K2" s="1901" t="s">
        <v>669</v>
      </c>
      <c r="L2" s="1901" t="s">
        <v>674</v>
      </c>
      <c r="M2" s="1901" t="s">
        <v>651</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1371</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1372</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-1.0115000000000001E-2</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-2.2418983333333333</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5.0610000000000044E-2</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
      <c r="A16" s="433"/>
      <c r="B16" s="659" t="s">
        <v>1373</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1354</v>
      </c>
      <c r="D18" s="433"/>
      <c r="E18" s="433"/>
      <c r="F18" s="433"/>
      <c r="G18" s="433"/>
      <c r="H18" s="433"/>
      <c r="I18" s="433"/>
    </row>
    <row r="19" spans="1:13" ht="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-0.76560000000000006</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1355</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1374</v>
      </c>
      <c r="B36" s="615"/>
      <c r="C36" s="615"/>
      <c r="D36" s="616"/>
      <c r="E36" s="617"/>
      <c r="F36" s="617"/>
      <c r="G36" s="617"/>
      <c r="H36" s="618"/>
      <c r="I36" s="1945"/>
      <c r="J36" s="645"/>
      <c r="K36" s="617"/>
      <c r="L36" s="617"/>
      <c r="M36" s="617"/>
    </row>
    <row r="37" spans="1:13" ht="13">
      <c r="A37" s="433"/>
      <c r="B37" s="659" t="s">
        <v>1375</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1354</v>
      </c>
      <c r="D39" s="433"/>
      <c r="E39" s="433"/>
      <c r="F39" s="433"/>
      <c r="G39" s="433"/>
      <c r="H39" s="433"/>
    </row>
    <row r="40" spans="1:13" ht="13">
      <c r="A40" s="433"/>
      <c r="B40" s="433"/>
      <c r="C40" s="433"/>
      <c r="D40" s="433"/>
      <c r="E40" s="639" t="str">
        <f>E7</f>
        <v>Revenue adjustments - Net ODI payments (to be applied in-period) - Water resources</v>
      </c>
      <c r="F40" s="639">
        <f>F7</f>
        <v>-1.0115000000000001E-2</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-2.2418983333333333</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5.0610000000000044E-2</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41" t="s">
        <v>1376</v>
      </c>
      <c r="D48" s="1370"/>
      <c r="E48" s="1370"/>
      <c r="F48" s="433"/>
      <c r="G48" s="433"/>
      <c r="H48" s="433"/>
      <c r="I48" s="438" t="s">
        <v>1377</v>
      </c>
      <c r="J48" s="433"/>
      <c r="K48" s="433"/>
      <c r="L48" s="433"/>
      <c r="M48" s="433"/>
    </row>
    <row r="49" spans="1:13" ht="13">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48" t="str">
        <f t="shared" ref="E50:E55" si="2">E20</f>
        <v>Revenue adjustments - Net ODI payments (to be applied end of period) - Water network plus</v>
      </c>
      <c r="F50" s="639">
        <f>IF('Validation summary'!$B$2="2024-25",($F20+SUM($J50:$M50)),$F20)</f>
        <v>-0.76560000000000006</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1378</v>
      </c>
      <c r="D57" s="433"/>
      <c r="E57" s="433"/>
      <c r="F57" s="433"/>
      <c r="G57" s="433"/>
      <c r="H57" s="433"/>
      <c r="I57" s="438" t="s">
        <v>1379</v>
      </c>
      <c r="J57" s="433"/>
      <c r="K57" s="433"/>
      <c r="L57" s="433"/>
      <c r="M57" s="433"/>
    </row>
    <row r="58" spans="1:13" ht="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1380</v>
      </c>
      <c r="B66" s="615"/>
      <c r="C66" s="615"/>
      <c r="D66" s="616"/>
      <c r="E66" s="617"/>
      <c r="F66" s="617"/>
      <c r="G66" s="617"/>
      <c r="H66" s="618"/>
      <c r="I66" s="1945"/>
      <c r="J66" s="645"/>
      <c r="K66" s="617"/>
      <c r="L66" s="617"/>
      <c r="M66" s="617"/>
    </row>
    <row r="67" spans="1:13" ht="13">
      <c r="A67" s="433"/>
      <c r="B67" s="659" t="s">
        <v>1381</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70" t="s">
        <v>1382</v>
      </c>
      <c r="D69" s="1370"/>
      <c r="E69" s="433"/>
      <c r="F69" s="1373">
        <f>SUM(F40:F46)</f>
        <v>-2.2014033333333334</v>
      </c>
      <c r="G69" s="1370" t="s">
        <v>428</v>
      </c>
      <c r="H69" s="433"/>
      <c r="I69" s="433"/>
      <c r="J69" s="433"/>
      <c r="K69" s="433"/>
      <c r="L69" s="433"/>
      <c r="M69" s="433"/>
    </row>
    <row r="70" spans="1:13" ht="13">
      <c r="A70" s="433"/>
      <c r="B70" s="433"/>
      <c r="C70" s="1370" t="s">
        <v>1383</v>
      </c>
      <c r="D70" s="1370"/>
      <c r="E70" s="433"/>
      <c r="F70" s="1373">
        <f>SUM(F49:F55)</f>
        <v>-0.76560000000000006</v>
      </c>
      <c r="G70" s="1370" t="s">
        <v>428</v>
      </c>
      <c r="H70" s="433"/>
      <c r="I70" s="433"/>
      <c r="J70" s="433"/>
      <c r="K70" s="433"/>
      <c r="L70" s="433"/>
      <c r="M70" s="433"/>
    </row>
    <row r="71" spans="1:13" ht="13">
      <c r="A71" s="433"/>
      <c r="B71" s="433"/>
      <c r="C71" s="1370" t="s">
        <v>1384</v>
      </c>
      <c r="D71" s="1370"/>
      <c r="E71" s="433"/>
      <c r="F71" s="1373">
        <f>SUM(F58:F64)</f>
        <v>0</v>
      </c>
      <c r="G71" s="1370" t="s">
        <v>428</v>
      </c>
      <c r="H71" s="433"/>
      <c r="I71" s="433"/>
      <c r="J71" s="433"/>
      <c r="K71" s="433"/>
      <c r="L71" s="433"/>
      <c r="M71" s="433"/>
    </row>
    <row r="72" spans="1:13" ht="13">
      <c r="A72" s="433"/>
      <c r="B72" s="433"/>
      <c r="C72" s="1370" t="s">
        <v>845</v>
      </c>
      <c r="D72" s="1370"/>
      <c r="E72" s="433"/>
      <c r="F72" s="1373">
        <f>SUM(F69:F71)</f>
        <v>-2.9670033333333334</v>
      </c>
      <c r="G72" s="1370" t="s">
        <v>428</v>
      </c>
      <c r="H72" s="433"/>
      <c r="I72" s="433"/>
      <c r="J72" s="433"/>
      <c r="K72" s="433"/>
      <c r="L72" s="433"/>
      <c r="M72" s="433"/>
    </row>
    <row r="73" spans="1:13" ht="13">
      <c r="A73" s="433"/>
      <c r="B73" s="433"/>
      <c r="C73" s="1370"/>
      <c r="D73" s="1370"/>
      <c r="E73" s="433"/>
      <c r="F73" s="1370"/>
      <c r="G73" s="1370"/>
      <c r="H73" s="433"/>
      <c r="I73" s="433"/>
      <c r="J73" s="433"/>
      <c r="K73" s="433"/>
      <c r="L73" s="433"/>
      <c r="M73" s="433"/>
    </row>
    <row r="74" spans="1:13" ht="13">
      <c r="A74" s="433"/>
      <c r="B74" s="433"/>
      <c r="C74" s="1370" t="s">
        <v>1385</v>
      </c>
      <c r="D74" s="1370"/>
      <c r="E74" s="433"/>
      <c r="F74" s="1373">
        <f>SUM('3A'!$H$9:$H$16,'3A'!$H$19:$H$38)</f>
        <v>-2.9670033333333334</v>
      </c>
      <c r="G74" s="1370" t="s">
        <v>428</v>
      </c>
      <c r="H74" s="433"/>
      <c r="I74" s="433"/>
      <c r="J74" s="433"/>
      <c r="K74" s="433"/>
      <c r="L74" s="433"/>
      <c r="M74" s="433"/>
    </row>
    <row r="75" spans="1:13" ht="13">
      <c r="A75" s="433"/>
      <c r="B75" s="433"/>
      <c r="C75" s="1370" t="s">
        <v>1386</v>
      </c>
      <c r="D75" s="1370"/>
      <c r="E75" s="433"/>
      <c r="F75" s="1373">
        <f>SUM('3B'!$H$9:$H$12,'3B'!$H$15:$H$28)</f>
        <v>0</v>
      </c>
      <c r="G75" s="1370" t="s">
        <v>428</v>
      </c>
      <c r="H75" s="433"/>
      <c r="I75" s="433"/>
      <c r="J75" s="433"/>
      <c r="K75" s="433"/>
      <c r="L75" s="433"/>
      <c r="M75" s="433"/>
    </row>
    <row r="76" spans="1:13" ht="13">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ht="13">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ht="13">
      <c r="A78" s="433"/>
      <c r="B78" s="433"/>
      <c r="C78" s="1370" t="s">
        <v>845</v>
      </c>
      <c r="D78" s="1370"/>
      <c r="E78" s="433"/>
      <c r="F78" s="1373">
        <f>SUM(F74:F77)</f>
        <v>-2.9670033333333334</v>
      </c>
      <c r="G78" s="1370" t="s">
        <v>428</v>
      </c>
      <c r="H78" s="433"/>
      <c r="I78" s="433"/>
      <c r="J78" s="433"/>
      <c r="K78" s="433"/>
      <c r="L78" s="433"/>
      <c r="M78" s="433"/>
    </row>
    <row r="79" spans="1:13" ht="13">
      <c r="A79" s="433"/>
      <c r="B79" s="433"/>
      <c r="C79" s="1370"/>
      <c r="D79" s="1370"/>
      <c r="E79" s="433"/>
      <c r="F79" s="1370"/>
      <c r="G79" s="1370"/>
      <c r="H79" s="433"/>
      <c r="I79" s="433"/>
      <c r="J79" s="433"/>
      <c r="K79" s="433"/>
      <c r="L79" s="433"/>
      <c r="M79" s="433"/>
    </row>
    <row r="80" spans="1:13" ht="13">
      <c r="A80" s="433"/>
      <c r="B80" s="433"/>
      <c r="C80" s="1370" t="s">
        <v>1389</v>
      </c>
      <c r="D80" s="1370"/>
      <c r="E80" s="433"/>
      <c r="F80" s="1373">
        <f>F78-F72</f>
        <v>0</v>
      </c>
      <c r="G80" s="1370" t="s">
        <v>428</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627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56" customWidth="1"/>
    <col min="4" max="4" width="13.5" style="1356" bestFit="1" customWidth="1"/>
    <col min="5" max="5" width="55.33203125" style="1356" bestFit="1" customWidth="1"/>
    <col min="6" max="6" width="10" style="1356" bestFit="1" customWidth="1"/>
    <col min="7" max="7" width="10" style="1356" customWidth="1"/>
    <col min="8" max="8" width="18.58203125" style="1356" customWidth="1"/>
    <col min="9" max="9" width="16" style="1356" customWidth="1"/>
    <col min="10" max="10" width="10.75" style="1356" bestFit="1" customWidth="1"/>
    <col min="11" max="16384" width="9" style="1356"/>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SES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1391</v>
      </c>
      <c r="O4" s="2434"/>
      <c r="R4" s="1907"/>
    </row>
    <row r="5" spans="1:29">
      <c r="H5" s="2474" t="str">
        <f>Performance!E161</f>
        <v>Financial incentives apply or accrue this year?</v>
      </c>
      <c r="I5" s="2474"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74"/>
      <c r="I6" s="2474"/>
      <c r="J6" s="1905" t="s">
        <v>1393</v>
      </c>
      <c r="K6" s="1901" t="s">
        <v>148</v>
      </c>
      <c r="L6" s="1901" t="s">
        <v>148</v>
      </c>
      <c r="M6" s="1906" t="s">
        <v>148</v>
      </c>
      <c r="N6" s="1901" t="s">
        <v>148</v>
      </c>
      <c r="O6" s="1906" t="s">
        <v>148</v>
      </c>
      <c r="P6" s="1901"/>
      <c r="Q6" s="1901"/>
    </row>
    <row r="7" spans="1:29">
      <c r="D7" s="1422" t="str" cm="1">
        <f t="array" ref="D7:D52">TRANSPOSE(Performance!J5:BC5)</f>
        <v>PR19SES_A.4</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PR19SES_A.1</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PR19SES_C.4</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PR19SES_E.1</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-0.76559999999999995</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PR19SES_A.2</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PR19SES_C.3</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PR19SES_A.3</v>
      </c>
      <c r="E15" s="1422" t="str">
        <v>Customer concerns about their water (taste, odour and discolouration contacts)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PR19SES_B.1</v>
      </c>
      <c r="E16" s="1422" t="str">
        <v>Supporting customers in financial hardship</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PR19SES_B.4</v>
      </c>
      <c r="E17" s="1422" t="str">
        <v>Void properties</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PR19SES_D.1</v>
      </c>
      <c r="E18" s="1422" t="str">
        <v>First contact resolution</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PR19SES_E.2</v>
      </c>
      <c r="E19" s="1422" t="str">
        <v>Greenhouse gas emissions</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PR19SES_E.6</v>
      </c>
      <c r="E20" s="1422" t="str">
        <v>River based improvement - delivery of WINEP</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PR19SES_A.5</v>
      </c>
      <c r="E21" s="1422" t="str">
        <v>Water Softening</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PR19SES_C.2</v>
      </c>
      <c r="E22" s="1422" t="str">
        <v>Risk of supply failures</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
      </c>
      <c r="E23" s="1422" t="str">
        <v/>
      </c>
      <c r="F23" s="1903" t="str">
        <v/>
      </c>
      <c r="G23" s="1903" t="str">
        <v/>
      </c>
      <c r="H23" s="1903" t="b">
        <v>1</v>
      </c>
      <c r="I23" s="1903" t="b">
        <v>0</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
      </c>
      <c r="E24" s="1422" t="str">
        <v/>
      </c>
      <c r="F24" s="1903" t="str">
        <v/>
      </c>
      <c r="G24" s="1903" t="str">
        <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-0.76559999999999995</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-1.0115000000000001E-2</v>
      </c>
    </row>
    <row r="5" spans="1:7">
      <c r="B5" s="1177" t="s">
        <v>1401</v>
      </c>
      <c r="C5" s="1361" t="s">
        <v>1402</v>
      </c>
      <c r="D5" s="1361" t="s">
        <v>148</v>
      </c>
      <c r="E5" s="1361" t="s">
        <v>1400</v>
      </c>
      <c r="F5" s="1361"/>
      <c r="G5" s="1176">
        <f>'Model outputs - Aggregate level'!F41</f>
        <v>-2.2418983333333333</v>
      </c>
    </row>
    <row r="6" spans="1:7">
      <c r="B6" s="1177" t="s">
        <v>1403</v>
      </c>
      <c r="C6" s="1361" t="s">
        <v>1404</v>
      </c>
      <c r="D6" s="1361" t="s">
        <v>148</v>
      </c>
      <c r="E6" s="1361" t="s">
        <v>1400</v>
      </c>
      <c r="F6" s="1361"/>
      <c r="G6" s="1176">
        <f>'Model outputs - Aggregate level'!F42</f>
        <v>0</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5.0610000000000044E-2</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0</v>
      </c>
    </row>
    <row r="12" spans="1:7">
      <c r="B12" s="1177" t="s">
        <v>1415</v>
      </c>
      <c r="C12" s="1361" t="s">
        <v>1416</v>
      </c>
      <c r="D12" s="1361" t="s">
        <v>148</v>
      </c>
      <c r="E12" s="1361" t="s">
        <v>1400</v>
      </c>
      <c r="F12" s="1361"/>
      <c r="G12" s="1176">
        <f>'Model outputs - Aggregate level'!F50</f>
        <v>-0.76560000000000006</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PR19SES_A.4</v>
      </c>
      <c r="G25" s="1176">
        <f>'Model outputs - Interventions'!K7</f>
        <v>0</v>
      </c>
    </row>
    <row r="26" spans="1:7">
      <c r="A26" s="1361"/>
      <c r="B26" s="1177" t="s">
        <v>1443</v>
      </c>
      <c r="C26" s="1361" t="s">
        <v>1444</v>
      </c>
      <c r="D26" s="1361" t="s">
        <v>680</v>
      </c>
      <c r="E26" s="1361" t="s">
        <v>1400</v>
      </c>
      <c r="F26" s="1361" t="str">
        <f>'Model outputs - Interventions'!F8</f>
        <v>PR19SES_A.1</v>
      </c>
      <c r="G26" s="1176">
        <f>'Model outputs - Interventions'!K8</f>
        <v>1.8514506564393345E-2</v>
      </c>
    </row>
    <row r="27" spans="1:7">
      <c r="A27" s="1361"/>
      <c r="B27" s="1177" t="s">
        <v>1445</v>
      </c>
      <c r="C27" s="1361" t="s">
        <v>1446</v>
      </c>
      <c r="D27" s="1361" t="s">
        <v>680</v>
      </c>
      <c r="E27" s="1361" t="s">
        <v>1400</v>
      </c>
      <c r="F27" s="1361" t="str">
        <f>'Model outputs - Interventions'!F9</f>
        <v>PR19SES_C.4</v>
      </c>
      <c r="G27" s="1176">
        <f>'Model outputs - Interventions'!K9</f>
        <v>15.873015873015872</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PR19SES_E.1</v>
      </c>
      <c r="G29" s="1176">
        <f>'Model outputs - Interventions'!K11</f>
        <v>0.7382550335570448</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PR19SES_A.2</v>
      </c>
      <c r="G31" s="1176">
        <f>'Model outputs - Interventions'!K13</f>
        <v>61.868543535021004</v>
      </c>
    </row>
    <row r="32" spans="1:7">
      <c r="A32" s="1361"/>
      <c r="B32" s="1177" t="s">
        <v>1455</v>
      </c>
      <c r="C32" s="1361" t="s">
        <v>1456</v>
      </c>
      <c r="D32" s="1361" t="s">
        <v>680</v>
      </c>
      <c r="E32" s="1361" t="s">
        <v>1400</v>
      </c>
      <c r="F32" s="1361" t="str">
        <f>'Model outputs - Interventions'!F14</f>
        <v>PR19SES_C.3</v>
      </c>
      <c r="G32" s="1176">
        <f>'Model outputs - Interventions'!K14</f>
        <v>4.0073679901760126</v>
      </c>
    </row>
    <row r="33" spans="1:7">
      <c r="A33" s="1361"/>
      <c r="B33" s="1177" t="s">
        <v>1457</v>
      </c>
      <c r="C33" s="1361" t="s">
        <v>1458</v>
      </c>
      <c r="D33" s="1361" t="s">
        <v>680</v>
      </c>
      <c r="E33" s="1361" t="s">
        <v>1400</v>
      </c>
      <c r="F33" s="1361" t="str">
        <f>'Model outputs - Interventions'!F15</f>
        <v>PR19SES_A.3</v>
      </c>
      <c r="G33" s="1176">
        <f>'Model outputs - Interventions'!K15</f>
        <v>0.57999999999999996</v>
      </c>
    </row>
    <row r="34" spans="1:7">
      <c r="A34" s="1361"/>
      <c r="B34" s="1177" t="s">
        <v>1459</v>
      </c>
      <c r="C34" s="1361" t="s">
        <v>1460</v>
      </c>
      <c r="D34" s="1361" t="s">
        <v>680</v>
      </c>
      <c r="E34" s="1361" t="s">
        <v>1400</v>
      </c>
      <c r="F34" s="1361" t="str">
        <f>'Model outputs - Interventions'!F16</f>
        <v>PR19SES_B.1</v>
      </c>
      <c r="G34" s="1176">
        <f>'Model outputs - Interventions'!K16</f>
        <v>25379</v>
      </c>
    </row>
    <row r="35" spans="1:7">
      <c r="A35" s="1361"/>
      <c r="B35" s="1177" t="s">
        <v>1461</v>
      </c>
      <c r="C35" s="1361" t="s">
        <v>1462</v>
      </c>
      <c r="D35" s="1361" t="s">
        <v>680</v>
      </c>
      <c r="E35" s="1361" t="s">
        <v>1400</v>
      </c>
      <c r="F35" s="1361" t="str">
        <f>'Model outputs - Interventions'!F17</f>
        <v>PR19SES_B.4</v>
      </c>
      <c r="G35" s="1176">
        <f>'Model outputs - Interventions'!K17</f>
        <v>1.99</v>
      </c>
    </row>
    <row r="36" spans="1:7">
      <c r="A36" s="1361"/>
      <c r="B36" s="1177" t="s">
        <v>1463</v>
      </c>
      <c r="C36" s="1361" t="s">
        <v>1464</v>
      </c>
      <c r="D36" s="1361" t="s">
        <v>680</v>
      </c>
      <c r="E36" s="1361" t="s">
        <v>1400</v>
      </c>
      <c r="F36" s="1361" t="str">
        <f>'Model outputs - Interventions'!F18</f>
        <v>PR19SES_D.1</v>
      </c>
      <c r="G36" s="1176">
        <f>'Model outputs - Interventions'!K18</f>
        <v>90.68</v>
      </c>
    </row>
    <row r="37" spans="1:7">
      <c r="A37" s="1361"/>
      <c r="B37" s="1177" t="s">
        <v>1465</v>
      </c>
      <c r="C37" s="1361" t="s">
        <v>1466</v>
      </c>
      <c r="D37" s="1361" t="s">
        <v>680</v>
      </c>
      <c r="E37" s="1361" t="s">
        <v>1400</v>
      </c>
      <c r="F37" s="1361" t="str">
        <f>'Model outputs - Interventions'!F19</f>
        <v>PR19SES_E.2</v>
      </c>
      <c r="G37" s="1176">
        <f>'Model outputs - Interventions'!K19</f>
        <v>38</v>
      </c>
    </row>
    <row r="38" spans="1:7">
      <c r="A38" s="1361"/>
      <c r="B38" s="1177" t="s">
        <v>1467</v>
      </c>
      <c r="C38" s="1361" t="s">
        <v>1468</v>
      </c>
      <c r="D38" s="1361" t="s">
        <v>680</v>
      </c>
      <c r="E38" s="1361" t="s">
        <v>1400</v>
      </c>
      <c r="F38" s="1361" t="str">
        <f>'Model outputs - Interventions'!F20</f>
        <v>PR19SES_E.6</v>
      </c>
      <c r="G38" s="1176">
        <f>'Model outputs - Interventions'!K20</f>
        <v>17</v>
      </c>
    </row>
    <row r="39" spans="1:7">
      <c r="A39" s="1361"/>
      <c r="B39" s="1177" t="s">
        <v>1469</v>
      </c>
      <c r="C39" s="1361" t="s">
        <v>1470</v>
      </c>
      <c r="D39" s="1361" t="s">
        <v>680</v>
      </c>
      <c r="E39" s="1361" t="s">
        <v>1400</v>
      </c>
      <c r="F39" s="1361" t="str">
        <f>'Model outputs - Interventions'!F21</f>
        <v>PR19SES_A.5</v>
      </c>
      <c r="G39" s="1176">
        <f>'Model outputs - Interventions'!K21</f>
        <v>10.4</v>
      </c>
    </row>
    <row r="40" spans="1:7">
      <c r="A40" s="1361"/>
      <c r="B40" s="1177" t="s">
        <v>1471</v>
      </c>
      <c r="C40" s="1361" t="s">
        <v>1472</v>
      </c>
      <c r="D40" s="1361" t="s">
        <v>680</v>
      </c>
      <c r="E40" s="1361" t="s">
        <v>1400</v>
      </c>
      <c r="F40" s="1361" t="str">
        <f>'Model outputs - Interventions'!F22</f>
        <v>PR19SES_C.2</v>
      </c>
      <c r="G40" s="1176">
        <f>'Model outputs - Interventions'!K22</f>
        <v>91</v>
      </c>
    </row>
    <row r="41" spans="1:7">
      <c r="A41" s="1361"/>
      <c r="B41" s="1177" t="s">
        <v>1473</v>
      </c>
      <c r="C41" s="1361" t="s">
        <v>1474</v>
      </c>
      <c r="D41" s="1361" t="s">
        <v>680</v>
      </c>
      <c r="E41" s="1361" t="s">
        <v>1400</v>
      </c>
      <c r="F41" s="1361" t="str">
        <f>'Model outputs - Interventions'!F23</f>
        <v/>
      </c>
      <c r="G41" s="1176" t="str">
        <f>'Model outputs - Interventions'!K23</f>
        <v/>
      </c>
    </row>
    <row r="42" spans="1:7">
      <c r="A42" s="1361"/>
      <c r="B42" s="1177" t="s">
        <v>1475</v>
      </c>
      <c r="C42" s="1361" t="s">
        <v>1476</v>
      </c>
      <c r="D42" s="1361" t="s">
        <v>680</v>
      </c>
      <c r="E42" s="1361" t="s">
        <v>1400</v>
      </c>
      <c r="F42" s="1361" t="str">
        <f>'Model outputs - Interventions'!F24</f>
        <v/>
      </c>
      <c r="G42" s="1176" t="str">
        <f>'Model outputs - Interventions'!K24</f>
        <v/>
      </c>
    </row>
    <row r="43" spans="1:7">
      <c r="A43" s="1361"/>
      <c r="B43" s="1177" t="s">
        <v>1477</v>
      </c>
      <c r="C43" s="1361" t="s">
        <v>1478</v>
      </c>
      <c r="D43" s="1361" t="s">
        <v>680</v>
      </c>
      <c r="E43" s="1361" t="s">
        <v>1400</v>
      </c>
      <c r="F43" s="1361" t="str">
        <f>'Model outputs - Interventions'!F25</f>
        <v/>
      </c>
      <c r="G43" s="1176" t="str">
        <f>'Model outputs - Interventions'!K25</f>
        <v/>
      </c>
    </row>
    <row r="44" spans="1:7">
      <c r="A44" s="1361"/>
      <c r="B44" s="1177" t="s">
        <v>1479</v>
      </c>
      <c r="C44" s="1361" t="s">
        <v>1480</v>
      </c>
      <c r="D44" s="1361" t="s">
        <v>680</v>
      </c>
      <c r="E44" s="1361" t="s">
        <v>1400</v>
      </c>
      <c r="F44" s="1361" t="str">
        <f>'Model outputs - Interventions'!F26</f>
        <v/>
      </c>
      <c r="G44" s="1176" t="str">
        <f>'Model outputs - Interventions'!K26</f>
        <v/>
      </c>
    </row>
    <row r="45" spans="1:7">
      <c r="A45" s="1361"/>
      <c r="B45" s="1177" t="s">
        <v>1481</v>
      </c>
      <c r="C45" s="1361" t="s">
        <v>1482</v>
      </c>
      <c r="D45" s="1361" t="s">
        <v>680</v>
      </c>
      <c r="E45" s="1361" t="s">
        <v>1400</v>
      </c>
      <c r="F45" s="1361" t="str">
        <f>'Model outputs - Interventions'!F27</f>
        <v/>
      </c>
      <c r="G45" s="1176" t="str">
        <f>'Model outputs - Interventions'!K27</f>
        <v/>
      </c>
    </row>
    <row r="46" spans="1:7">
      <c r="A46" s="1361"/>
      <c r="B46" s="1177" t="s">
        <v>1483</v>
      </c>
      <c r="C46" s="1361" t="s">
        <v>1484</v>
      </c>
      <c r="D46" s="1361" t="s">
        <v>680</v>
      </c>
      <c r="E46" s="1361" t="s">
        <v>1400</v>
      </c>
      <c r="F46" s="1361" t="str">
        <f>'Model outputs - Interventions'!F28</f>
        <v/>
      </c>
      <c r="G46" s="1176" t="str">
        <f>'Model outputs - Interventions'!K28</f>
        <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
      </c>
      <c r="G53" s="1176" t="str">
        <f>'Model outputs - Interventions'!K35</f>
        <v/>
      </c>
    </row>
    <row r="54" spans="1:7">
      <c r="A54" s="1361"/>
      <c r="B54" s="1177" t="s">
        <v>1499</v>
      </c>
      <c r="C54" s="1361" t="s">
        <v>1500</v>
      </c>
      <c r="D54" s="1361" t="s">
        <v>680</v>
      </c>
      <c r="E54" s="1361" t="s">
        <v>1400</v>
      </c>
      <c r="F54" s="1361" t="str">
        <f>'Model outputs - Interventions'!F36</f>
        <v/>
      </c>
      <c r="G54" s="1176" t="str">
        <f>'Model outputs - Interventions'!K36</f>
        <v/>
      </c>
    </row>
    <row r="55" spans="1:7">
      <c r="A55" s="1361"/>
      <c r="B55" s="1177" t="s">
        <v>1501</v>
      </c>
      <c r="C55" s="1361" t="s">
        <v>1502</v>
      </c>
      <c r="D55" s="1361" t="s">
        <v>680</v>
      </c>
      <c r="E55" s="1361" t="s">
        <v>1400</v>
      </c>
      <c r="F55" s="1361" t="str">
        <f>'Model outputs - Interventions'!F37</f>
        <v/>
      </c>
      <c r="G55" s="1176" t="str">
        <f>'Model outputs - Interventions'!K37</f>
        <v/>
      </c>
    </row>
    <row r="56" spans="1:7">
      <c r="A56" s="1361"/>
      <c r="B56" s="1177" t="s">
        <v>1503</v>
      </c>
      <c r="C56" s="1361" t="s">
        <v>1504</v>
      </c>
      <c r="D56" s="1361" t="s">
        <v>680</v>
      </c>
      <c r="E56" s="1361" t="s">
        <v>1400</v>
      </c>
      <c r="F56" s="1361" t="str">
        <f>'Model outputs - Interventions'!F38</f>
        <v/>
      </c>
      <c r="G56" s="1176" t="str">
        <f>'Model outputs - Interventions'!K38</f>
        <v/>
      </c>
    </row>
    <row r="57" spans="1:7">
      <c r="A57" s="1361"/>
      <c r="B57" s="1177" t="s">
        <v>1505</v>
      </c>
      <c r="C57" s="1361" t="s">
        <v>1506</v>
      </c>
      <c r="D57" s="1361" t="s">
        <v>680</v>
      </c>
      <c r="E57" s="1361" t="s">
        <v>1400</v>
      </c>
      <c r="F57" s="1361" t="str">
        <f>'Model outputs - Interventions'!F39</f>
        <v/>
      </c>
      <c r="G57" s="1176" t="str">
        <f>'Model outputs - Interventions'!K39</f>
        <v/>
      </c>
    </row>
    <row r="58" spans="1:7">
      <c r="A58" s="1361"/>
      <c r="B58" s="1177" t="s">
        <v>1507</v>
      </c>
      <c r="C58" s="1361" t="s">
        <v>1508</v>
      </c>
      <c r="D58" s="1361" t="s">
        <v>680</v>
      </c>
      <c r="E58" s="1361" t="s">
        <v>1400</v>
      </c>
      <c r="F58" s="1361" t="str">
        <f>'Model outputs - Interventions'!F40</f>
        <v/>
      </c>
      <c r="G58" s="1176" t="str">
        <f>'Model outputs - Interventions'!K40</f>
        <v/>
      </c>
    </row>
    <row r="59" spans="1:7">
      <c r="A59" s="1361"/>
      <c r="B59" s="1177" t="s">
        <v>1509</v>
      </c>
      <c r="C59" s="1361" t="s">
        <v>1510</v>
      </c>
      <c r="D59" s="1361" t="s">
        <v>680</v>
      </c>
      <c r="E59" s="1361" t="s">
        <v>1400</v>
      </c>
      <c r="F59" s="1361" t="str">
        <f>'Model outputs - Interventions'!F41</f>
        <v/>
      </c>
      <c r="G59" s="1176" t="str">
        <f>'Model outputs - Interventions'!K41</f>
        <v/>
      </c>
    </row>
    <row r="60" spans="1:7">
      <c r="A60" s="1361"/>
      <c r="B60" s="1177" t="s">
        <v>1511</v>
      </c>
      <c r="C60" s="1361" t="s">
        <v>1512</v>
      </c>
      <c r="D60" s="1361" t="s">
        <v>680</v>
      </c>
      <c r="E60" s="1361" t="s">
        <v>1400</v>
      </c>
      <c r="F60" s="1361" t="str">
        <f>'Model outputs - Interventions'!F42</f>
        <v/>
      </c>
      <c r="G60" s="1176" t="str">
        <f>'Model outputs - Interventions'!K42</f>
        <v/>
      </c>
    </row>
    <row r="61" spans="1:7">
      <c r="A61" s="1361"/>
      <c r="B61" s="1177" t="s">
        <v>1513</v>
      </c>
      <c r="C61" s="1361" t="s">
        <v>1514</v>
      </c>
      <c r="D61" s="1361" t="s">
        <v>680</v>
      </c>
      <c r="E61" s="1361" t="s">
        <v>1400</v>
      </c>
      <c r="F61" s="1361" t="str">
        <f>'Model outputs - Interventions'!F43</f>
        <v/>
      </c>
      <c r="G61" s="1176" t="str">
        <f>'Model outputs - Interventions'!K43</f>
        <v/>
      </c>
    </row>
    <row r="62" spans="1:7">
      <c r="A62" s="1361"/>
      <c r="B62" s="1177" t="s">
        <v>1515</v>
      </c>
      <c r="C62" s="1361" t="s">
        <v>1516</v>
      </c>
      <c r="D62" s="1361" t="s">
        <v>680</v>
      </c>
      <c r="E62" s="1361" t="s">
        <v>1400</v>
      </c>
      <c r="F62" s="1361" t="str">
        <f>'Model outputs - Interventions'!F44</f>
        <v/>
      </c>
      <c r="G62" s="1176" t="str">
        <f>'Model outputs - Interventions'!K44</f>
        <v/>
      </c>
    </row>
    <row r="63" spans="1:7">
      <c r="A63" s="1361"/>
      <c r="B63" s="1177" t="s">
        <v>1517</v>
      </c>
      <c r="C63" s="1361" t="s">
        <v>1518</v>
      </c>
      <c r="D63" s="1361" t="s">
        <v>680</v>
      </c>
      <c r="E63" s="1361" t="s">
        <v>1400</v>
      </c>
      <c r="F63" s="1361" t="str">
        <f>'Model outputs - Interventions'!F45</f>
        <v/>
      </c>
      <c r="G63" s="1176" t="str">
        <f>'Model outputs - Interventions'!K45</f>
        <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PR19SES_A.4</v>
      </c>
      <c r="G71" s="1176">
        <f>'Model outputs - Interventions'!P7</f>
        <v>0</v>
      </c>
    </row>
    <row r="72" spans="1:7">
      <c r="A72" s="1361"/>
      <c r="B72" s="1177" t="s">
        <v>1535</v>
      </c>
      <c r="C72" s="1361" t="s">
        <v>1536</v>
      </c>
      <c r="D72" s="1361" t="s">
        <v>148</v>
      </c>
      <c r="E72" s="1361" t="s">
        <v>1400</v>
      </c>
      <c r="F72" s="1361" t="str">
        <f>'Model outputs - Interventions'!F8</f>
        <v>PR19SES_A.1</v>
      </c>
      <c r="G72" s="1176">
        <f>'Model outputs - Interventions'!P8</f>
        <v>-1.4499833333333334</v>
      </c>
    </row>
    <row r="73" spans="1:7">
      <c r="A73" s="1361"/>
      <c r="B73" s="1177" t="s">
        <v>1537</v>
      </c>
      <c r="C73" s="1361" t="s">
        <v>1538</v>
      </c>
      <c r="D73" s="1361" t="s">
        <v>148</v>
      </c>
      <c r="E73" s="1361" t="s">
        <v>1400</v>
      </c>
      <c r="F73" s="1361" t="str">
        <f>'Model outputs - Interventions'!F9</f>
        <v>PR19SES_C.4</v>
      </c>
      <c r="G73" s="1176">
        <f>'Model outputs - Interventions'!P9</f>
        <v>0</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PR19SES_E.1</v>
      </c>
      <c r="G75" s="1176">
        <f>'Model outputs - Interventions'!P11</f>
        <v>-0.76559999999999995</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PR19SES_A.2</v>
      </c>
      <c r="G77" s="1176">
        <f>'Model outputs - Interventions'!P13</f>
        <v>-6.3799999999999968E-2</v>
      </c>
    </row>
    <row r="78" spans="1:7">
      <c r="A78" s="1361"/>
      <c r="B78" s="1177" t="s">
        <v>1547</v>
      </c>
      <c r="C78" s="1361" t="s">
        <v>1548</v>
      </c>
      <c r="D78" s="1361" t="s">
        <v>148</v>
      </c>
      <c r="E78" s="1361" t="s">
        <v>1400</v>
      </c>
      <c r="F78" s="1361" t="str">
        <f>'Model outputs - Interventions'!F14</f>
        <v>PR19SES_C.3</v>
      </c>
      <c r="G78" s="1176">
        <f>'Model outputs - Interventions'!P14</f>
        <v>-0.29391999999999996</v>
      </c>
    </row>
    <row r="79" spans="1:7">
      <c r="A79" s="1361"/>
      <c r="B79" s="1177" t="s">
        <v>1549</v>
      </c>
      <c r="C79" s="1361" t="s">
        <v>1550</v>
      </c>
      <c r="D79" s="1361" t="s">
        <v>148</v>
      </c>
      <c r="E79" s="1361" t="s">
        <v>1400</v>
      </c>
      <c r="F79" s="1361" t="str">
        <f>'Model outputs - Interventions'!F15</f>
        <v>PR19SES_A.3</v>
      </c>
      <c r="G79" s="1176">
        <f>'Model outputs - Interventions'!P15</f>
        <v>-6.3679999999999973E-2</v>
      </c>
    </row>
    <row r="80" spans="1:7">
      <c r="A80" s="1361"/>
      <c r="B80" s="1177" t="s">
        <v>1551</v>
      </c>
      <c r="C80" s="1361" t="s">
        <v>1552</v>
      </c>
      <c r="D80" s="1361" t="s">
        <v>148</v>
      </c>
      <c r="E80" s="1361" t="s">
        <v>1400</v>
      </c>
      <c r="F80" s="1361" t="str">
        <f>'Model outputs - Interventions'!F16</f>
        <v>PR19SES_B.1</v>
      </c>
      <c r="G80" s="1176">
        <f>'Model outputs - Interventions'!P16</f>
        <v>0</v>
      </c>
    </row>
    <row r="81" spans="1:7">
      <c r="A81" s="1361"/>
      <c r="B81" s="1177" t="s">
        <v>1553</v>
      </c>
      <c r="C81" s="1361" t="s">
        <v>1554</v>
      </c>
      <c r="D81" s="1361" t="s">
        <v>148</v>
      </c>
      <c r="E81" s="1361" t="s">
        <v>1400</v>
      </c>
      <c r="F81" s="1361" t="str">
        <f>'Model outputs - Interventions'!F17</f>
        <v>PR19SES_B.4</v>
      </c>
      <c r="G81" s="1176">
        <f>'Model outputs - Interventions'!P17</f>
        <v>5.0610000000000044E-2</v>
      </c>
    </row>
    <row r="82" spans="1:7">
      <c r="A82" s="1361"/>
      <c r="B82" s="1177" t="s">
        <v>1555</v>
      </c>
      <c r="C82" s="1361" t="s">
        <v>1556</v>
      </c>
      <c r="D82" s="1361" t="s">
        <v>148</v>
      </c>
      <c r="E82" s="1361" t="s">
        <v>1400</v>
      </c>
      <c r="F82" s="1361" t="str">
        <f>'Model outputs - Interventions'!F18</f>
        <v>PR19SES_D.1</v>
      </c>
      <c r="G82" s="1176">
        <f>'Model outputs - Interventions'!P18</f>
        <v>0</v>
      </c>
    </row>
    <row r="83" spans="1:7">
      <c r="A83" s="1361"/>
      <c r="B83" s="1177" t="s">
        <v>1557</v>
      </c>
      <c r="C83" s="1361" t="s">
        <v>1558</v>
      </c>
      <c r="D83" s="1361" t="s">
        <v>148</v>
      </c>
      <c r="E83" s="1361" t="s">
        <v>1400</v>
      </c>
      <c r="F83" s="1361" t="str">
        <f>'Model outputs - Interventions'!F19</f>
        <v>PR19SES_E.2</v>
      </c>
      <c r="G83" s="1176">
        <f>'Model outputs - Interventions'!P19</f>
        <v>0</v>
      </c>
    </row>
    <row r="84" spans="1:7">
      <c r="A84" s="1361"/>
      <c r="B84" s="1177" t="s">
        <v>1559</v>
      </c>
      <c r="C84" s="1361" t="s">
        <v>1560</v>
      </c>
      <c r="D84" s="1361" t="s">
        <v>148</v>
      </c>
      <c r="E84" s="1361" t="s">
        <v>1400</v>
      </c>
      <c r="F84" s="1361" t="str">
        <f>'Model outputs - Interventions'!F20</f>
        <v>PR19SES_E.6</v>
      </c>
      <c r="G84" s="1176">
        <f>'Model outputs - Interventions'!P20</f>
        <v>-2.9750000000000002E-2</v>
      </c>
    </row>
    <row r="85" spans="1:7">
      <c r="A85" s="1361"/>
      <c r="B85" s="1177" t="s">
        <v>1561</v>
      </c>
      <c r="C85" s="1361" t="s">
        <v>1562</v>
      </c>
      <c r="D85" s="1361" t="s">
        <v>148</v>
      </c>
      <c r="E85" s="1361" t="s">
        <v>1400</v>
      </c>
      <c r="F85" s="1361" t="str">
        <f>'Model outputs - Interventions'!F21</f>
        <v>PR19SES_A.5</v>
      </c>
      <c r="G85" s="1176">
        <f>'Model outputs - Interventions'!P21</f>
        <v>-0.29327999999999999</v>
      </c>
    </row>
    <row r="86" spans="1:7">
      <c r="A86" s="1361"/>
      <c r="B86" s="1177" t="s">
        <v>1563</v>
      </c>
      <c r="C86" s="1361" t="s">
        <v>1564</v>
      </c>
      <c r="D86" s="1361" t="s">
        <v>148</v>
      </c>
      <c r="E86" s="1361" t="s">
        <v>1400</v>
      </c>
      <c r="F86" s="1361" t="str">
        <f>'Model outputs - Interventions'!F22</f>
        <v>PR19SES_C.2</v>
      </c>
      <c r="G86" s="1176">
        <f>'Model outputs - Interventions'!P22</f>
        <v>-5.7600000000000005E-2</v>
      </c>
    </row>
    <row r="87" spans="1:7">
      <c r="A87" s="1361"/>
      <c r="B87" s="1177" t="s">
        <v>1565</v>
      </c>
      <c r="C87" s="1361" t="s">
        <v>1566</v>
      </c>
      <c r="D87" s="1361" t="s">
        <v>148</v>
      </c>
      <c r="E87" s="1361" t="s">
        <v>1400</v>
      </c>
      <c r="F87" s="1361" t="str">
        <f>'Model outputs - Interventions'!F23</f>
        <v/>
      </c>
      <c r="G87" s="1176">
        <f>'Model outputs - Interventions'!P23</f>
        <v>0</v>
      </c>
    </row>
    <row r="88" spans="1:7">
      <c r="A88" s="1361"/>
      <c r="B88" s="1177" t="s">
        <v>1567</v>
      </c>
      <c r="C88" s="1361" t="s">
        <v>1568</v>
      </c>
      <c r="D88" s="1361" t="s">
        <v>148</v>
      </c>
      <c r="E88" s="1361" t="s">
        <v>1400</v>
      </c>
      <c r="F88" s="1361" t="str">
        <f>'Model outputs - Interventions'!F24</f>
        <v/>
      </c>
      <c r="G88" s="1176">
        <f>'Model outputs - Interventions'!P24</f>
        <v>0</v>
      </c>
    </row>
    <row r="89" spans="1:7">
      <c r="A89" s="1361"/>
      <c r="B89" s="1177" t="s">
        <v>1569</v>
      </c>
      <c r="C89" s="1361" t="s">
        <v>1570</v>
      </c>
      <c r="D89" s="1361" t="s">
        <v>148</v>
      </c>
      <c r="E89" s="1361" t="s">
        <v>1400</v>
      </c>
      <c r="F89" s="1361" t="str">
        <f>'Model outputs - Interventions'!F25</f>
        <v/>
      </c>
      <c r="G89" s="1176">
        <f>'Model outputs - Interventions'!P25</f>
        <v>0</v>
      </c>
    </row>
    <row r="90" spans="1:7">
      <c r="A90" s="1361"/>
      <c r="B90" s="1177" t="s">
        <v>1571</v>
      </c>
      <c r="C90" s="1361" t="s">
        <v>1572</v>
      </c>
      <c r="D90" s="1361" t="s">
        <v>148</v>
      </c>
      <c r="E90" s="1361" t="s">
        <v>1400</v>
      </c>
      <c r="F90" s="1361" t="str">
        <f>'Model outputs - Interventions'!F26</f>
        <v/>
      </c>
      <c r="G90" s="1176">
        <f>'Model outputs - Interventions'!P26</f>
        <v>0</v>
      </c>
    </row>
    <row r="91" spans="1:7">
      <c r="A91" s="1361"/>
      <c r="B91" s="1177" t="s">
        <v>1573</v>
      </c>
      <c r="C91" s="1361" t="s">
        <v>1574</v>
      </c>
      <c r="D91" s="1361" t="s">
        <v>148</v>
      </c>
      <c r="E91" s="1361" t="s">
        <v>1400</v>
      </c>
      <c r="F91" s="1361" t="str">
        <f>'Model outputs - Interventions'!F27</f>
        <v/>
      </c>
      <c r="G91" s="1176">
        <f>'Model outputs - Interventions'!P27</f>
        <v>0</v>
      </c>
    </row>
    <row r="92" spans="1:7">
      <c r="A92" s="1361"/>
      <c r="B92" s="1177" t="s">
        <v>1575</v>
      </c>
      <c r="C92" s="1361" t="s">
        <v>1576</v>
      </c>
      <c r="D92" s="1361" t="s">
        <v>148</v>
      </c>
      <c r="E92" s="1361" t="s">
        <v>1400</v>
      </c>
      <c r="F92" s="1361" t="str">
        <f>'Model outputs - Interventions'!F28</f>
        <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
      </c>
      <c r="G99" s="1176">
        <f>'Model outputs - Interventions'!P35</f>
        <v>0</v>
      </c>
    </row>
    <row r="100" spans="1:7">
      <c r="A100" s="1361"/>
      <c r="B100" s="1177" t="s">
        <v>1591</v>
      </c>
      <c r="C100" s="1361" t="s">
        <v>1592</v>
      </c>
      <c r="D100" s="1361" t="s">
        <v>148</v>
      </c>
      <c r="E100" s="1361" t="s">
        <v>1400</v>
      </c>
      <c r="F100" s="1361" t="str">
        <f>'Model outputs - Interventions'!F36</f>
        <v/>
      </c>
      <c r="G100" s="1176">
        <f>'Model outputs - Interventions'!P36</f>
        <v>0</v>
      </c>
    </row>
    <row r="101" spans="1:7">
      <c r="A101" s="1361"/>
      <c r="B101" s="1177" t="s">
        <v>1593</v>
      </c>
      <c r="C101" s="1361" t="s">
        <v>1594</v>
      </c>
      <c r="D101" s="1361" t="s">
        <v>148</v>
      </c>
      <c r="E101" s="1361" t="s">
        <v>1400</v>
      </c>
      <c r="F101" s="1361" t="str">
        <f>'Model outputs - Interventions'!F37</f>
        <v/>
      </c>
      <c r="G101" s="1176">
        <f>'Model outputs - Interventions'!P37</f>
        <v>0</v>
      </c>
    </row>
    <row r="102" spans="1:7">
      <c r="A102" s="1361"/>
      <c r="B102" s="1177" t="s">
        <v>1595</v>
      </c>
      <c r="C102" s="1361" t="s">
        <v>1596</v>
      </c>
      <c r="D102" s="1361" t="s">
        <v>148</v>
      </c>
      <c r="E102" s="1361" t="s">
        <v>1400</v>
      </c>
      <c r="F102" s="1361" t="str">
        <f>'Model outputs - Interventions'!F38</f>
        <v/>
      </c>
      <c r="G102" s="1176">
        <f>'Model outputs - Interventions'!P38</f>
        <v>0</v>
      </c>
    </row>
    <row r="103" spans="1:7">
      <c r="A103" s="1361"/>
      <c r="B103" s="1177" t="s">
        <v>1597</v>
      </c>
      <c r="C103" s="1361" t="s">
        <v>1598</v>
      </c>
      <c r="D103" s="1361" t="s">
        <v>148</v>
      </c>
      <c r="E103" s="1361" t="s">
        <v>1400</v>
      </c>
      <c r="F103" s="1361" t="str">
        <f>'Model outputs - Interventions'!F39</f>
        <v/>
      </c>
      <c r="G103" s="1176">
        <f>'Model outputs - Interventions'!P39</f>
        <v>0</v>
      </c>
    </row>
    <row r="104" spans="1:7">
      <c r="A104" s="1361"/>
      <c r="B104" s="1177" t="s">
        <v>1599</v>
      </c>
      <c r="C104" s="1361" t="s">
        <v>1600</v>
      </c>
      <c r="D104" s="1361" t="s">
        <v>148</v>
      </c>
      <c r="E104" s="1361" t="s">
        <v>1400</v>
      </c>
      <c r="F104" s="1361" t="str">
        <f>'Model outputs - Interventions'!F40</f>
        <v/>
      </c>
      <c r="G104" s="1176">
        <f>'Model outputs - Interventions'!P40</f>
        <v>0</v>
      </c>
    </row>
    <row r="105" spans="1:7">
      <c r="A105" s="1361"/>
      <c r="B105" s="1177" t="s">
        <v>1601</v>
      </c>
      <c r="C105" s="1361" t="s">
        <v>1602</v>
      </c>
      <c r="D105" s="1361" t="s">
        <v>148</v>
      </c>
      <c r="E105" s="1361" t="s">
        <v>1400</v>
      </c>
      <c r="F105" s="1361" t="str">
        <f>'Model outputs - Interventions'!F41</f>
        <v/>
      </c>
      <c r="G105" s="1176">
        <f>'Model outputs - Interventions'!P41</f>
        <v>0</v>
      </c>
    </row>
    <row r="106" spans="1:7">
      <c r="A106" s="1361"/>
      <c r="B106" s="1177" t="s">
        <v>1603</v>
      </c>
      <c r="C106" s="1361" t="s">
        <v>1604</v>
      </c>
      <c r="D106" s="1361" t="s">
        <v>148</v>
      </c>
      <c r="E106" s="1361" t="s">
        <v>1400</v>
      </c>
      <c r="F106" s="1361" t="str">
        <f>'Model outputs - Interventions'!F42</f>
        <v/>
      </c>
      <c r="G106" s="1176">
        <f>'Model outputs - Interventions'!P42</f>
        <v>0</v>
      </c>
    </row>
    <row r="107" spans="1:7">
      <c r="A107" s="1361"/>
      <c r="B107" s="1177" t="s">
        <v>1605</v>
      </c>
      <c r="C107" s="1361" t="s">
        <v>1606</v>
      </c>
      <c r="D107" s="1361" t="s">
        <v>148</v>
      </c>
      <c r="E107" s="1361" t="s">
        <v>1400</v>
      </c>
      <c r="F107" s="1361" t="str">
        <f>'Model outputs - Interventions'!F43</f>
        <v/>
      </c>
      <c r="G107" s="1176">
        <f>'Model outputs - Interventions'!P43</f>
        <v>0</v>
      </c>
    </row>
    <row r="108" spans="1:7">
      <c r="A108" s="1361"/>
      <c r="B108" s="1177" t="s">
        <v>1607</v>
      </c>
      <c r="C108" s="1361" t="s">
        <v>1608</v>
      </c>
      <c r="D108" s="1361" t="s">
        <v>148</v>
      </c>
      <c r="E108" s="1361" t="s">
        <v>1400</v>
      </c>
      <c r="F108" s="1361" t="str">
        <f>'Model outputs - Interventions'!F44</f>
        <v/>
      </c>
      <c r="G108" s="1176">
        <f>'Model outputs - Interventions'!P44</f>
        <v>0</v>
      </c>
    </row>
    <row r="109" spans="1:7">
      <c r="A109" s="1361"/>
      <c r="B109" s="1177" t="s">
        <v>1609</v>
      </c>
      <c r="C109" s="1361" t="s">
        <v>1610</v>
      </c>
      <c r="D109" s="1361" t="s">
        <v>148</v>
      </c>
      <c r="E109" s="1361" t="s">
        <v>1400</v>
      </c>
      <c r="F109" s="1361" t="str">
        <f>'Model outputs - Interventions'!F45</f>
        <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[…]11/02/2026 11:41:47</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-1.0115000000000001E-2</v>
      </c>
    </row>
    <row r="5" spans="1:7">
      <c r="B5" s="1177" t="s">
        <v>1633</v>
      </c>
      <c r="C5" s="1361" t="s">
        <v>1634</v>
      </c>
      <c r="D5" s="1361" t="s">
        <v>148</v>
      </c>
      <c r="E5" s="1361" t="s">
        <v>1632</v>
      </c>
      <c r="F5" s="1361"/>
      <c r="G5" s="1176">
        <f>'Model outputs - Aggregate level'!F41</f>
        <v>-2.2418983333333333</v>
      </c>
    </row>
    <row r="6" spans="1:7">
      <c r="B6" s="1177" t="s">
        <v>1635</v>
      </c>
      <c r="C6" s="1361" t="s">
        <v>1636</v>
      </c>
      <c r="D6" s="1361" t="s">
        <v>148</v>
      </c>
      <c r="E6" s="1361" t="s">
        <v>1632</v>
      </c>
      <c r="F6" s="1361"/>
      <c r="G6" s="1176">
        <f>'Model outputs - Aggregate level'!F42</f>
        <v>0</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5.0610000000000044E-2</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0</v>
      </c>
    </row>
    <row r="12" spans="1:7">
      <c r="B12" s="1177" t="s">
        <v>1647</v>
      </c>
      <c r="C12" s="1361" t="s">
        <v>1648</v>
      </c>
      <c r="D12" s="1361" t="s">
        <v>148</v>
      </c>
      <c r="E12" s="1361" t="s">
        <v>1632</v>
      </c>
      <c r="F12" s="1361"/>
      <c r="G12" s="1176">
        <f>'Model outputs - Aggregate level'!F50</f>
        <v>-0.76560000000000006</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PR19SES_A.4</v>
      </c>
      <c r="G25" s="1176">
        <f>'Model outputs - Interventions'!K7</f>
        <v>0</v>
      </c>
    </row>
    <row r="26" spans="1:7">
      <c r="A26" s="1361"/>
      <c r="B26" s="1177" t="s">
        <v>1675</v>
      </c>
      <c r="C26" s="1361" t="s">
        <v>1676</v>
      </c>
      <c r="D26" s="1361" t="s">
        <v>680</v>
      </c>
      <c r="E26" s="1361" t="s">
        <v>1632</v>
      </c>
      <c r="F26" s="1361" t="str">
        <f>'Model outputs - Interventions'!F8</f>
        <v>PR19SES_A.1</v>
      </c>
      <c r="G26" s="1176">
        <f>'Model outputs - Interventions'!K8</f>
        <v>1.8514506564393345E-2</v>
      </c>
    </row>
    <row r="27" spans="1:7">
      <c r="A27" s="1361"/>
      <c r="B27" s="1177" t="s">
        <v>1677</v>
      </c>
      <c r="C27" s="1361" t="s">
        <v>1678</v>
      </c>
      <c r="D27" s="1361" t="s">
        <v>680</v>
      </c>
      <c r="E27" s="1361" t="s">
        <v>1632</v>
      </c>
      <c r="F27" s="1361" t="str">
        <f>'Model outputs - Interventions'!F9</f>
        <v>PR19SES_C.4</v>
      </c>
      <c r="G27" s="1176">
        <f>'Model outputs - Interventions'!K9</f>
        <v>15.873015873015872</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PR19SES_E.1</v>
      </c>
      <c r="G29" s="1176">
        <f>'Model outputs - Interventions'!K11</f>
        <v>0.7382550335570448</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PR19SES_A.2</v>
      </c>
      <c r="G31" s="1176">
        <f>'Model outputs - Interventions'!K13</f>
        <v>61.868543535021004</v>
      </c>
    </row>
    <row r="32" spans="1:7">
      <c r="A32" s="1361"/>
      <c r="B32" s="1177" t="s">
        <v>1687</v>
      </c>
      <c r="C32" s="1361" t="s">
        <v>1688</v>
      </c>
      <c r="D32" s="1361" t="s">
        <v>680</v>
      </c>
      <c r="E32" s="1361" t="s">
        <v>1632</v>
      </c>
      <c r="F32" s="1361" t="str">
        <f>'Model outputs - Interventions'!F14</f>
        <v>PR19SES_C.3</v>
      </c>
      <c r="G32" s="1176">
        <f>'Model outputs - Interventions'!K14</f>
        <v>4.0073679901760126</v>
      </c>
    </row>
    <row r="33" spans="1:7">
      <c r="A33" s="1361"/>
      <c r="B33" s="1177" t="s">
        <v>1689</v>
      </c>
      <c r="C33" s="1361" t="s">
        <v>1690</v>
      </c>
      <c r="D33" s="1361" t="s">
        <v>680</v>
      </c>
      <c r="E33" s="1361" t="s">
        <v>1632</v>
      </c>
      <c r="F33" s="1361" t="str">
        <f>'Model outputs - Interventions'!F15</f>
        <v>PR19SES_A.3</v>
      </c>
      <c r="G33" s="1176">
        <f>'Model outputs - Interventions'!K15</f>
        <v>0.57999999999999996</v>
      </c>
    </row>
    <row r="34" spans="1:7">
      <c r="A34" s="1361"/>
      <c r="B34" s="1177" t="s">
        <v>1691</v>
      </c>
      <c r="C34" s="1361" t="s">
        <v>1692</v>
      </c>
      <c r="D34" s="1361" t="s">
        <v>680</v>
      </c>
      <c r="E34" s="1361" t="s">
        <v>1632</v>
      </c>
      <c r="F34" s="1361" t="str">
        <f>'Model outputs - Interventions'!F16</f>
        <v>PR19SES_B.1</v>
      </c>
      <c r="G34" s="1176">
        <f>'Model outputs - Interventions'!K16</f>
        <v>25379</v>
      </c>
    </row>
    <row r="35" spans="1:7">
      <c r="A35" s="1361"/>
      <c r="B35" s="1177" t="s">
        <v>1693</v>
      </c>
      <c r="C35" s="1361" t="s">
        <v>1694</v>
      </c>
      <c r="D35" s="1361" t="s">
        <v>680</v>
      </c>
      <c r="E35" s="1361" t="s">
        <v>1632</v>
      </c>
      <c r="F35" s="1361" t="str">
        <f>'Model outputs - Interventions'!F17</f>
        <v>PR19SES_B.4</v>
      </c>
      <c r="G35" s="1176">
        <f>'Model outputs - Interventions'!K17</f>
        <v>1.99</v>
      </c>
    </row>
    <row r="36" spans="1:7">
      <c r="A36" s="1361"/>
      <c r="B36" s="1177" t="s">
        <v>1695</v>
      </c>
      <c r="C36" s="1361" t="s">
        <v>1696</v>
      </c>
      <c r="D36" s="1361" t="s">
        <v>680</v>
      </c>
      <c r="E36" s="1361" t="s">
        <v>1632</v>
      </c>
      <c r="F36" s="1361" t="str">
        <f>'Model outputs - Interventions'!F18</f>
        <v>PR19SES_D.1</v>
      </c>
      <c r="G36" s="1176">
        <f>'Model outputs - Interventions'!K18</f>
        <v>90.68</v>
      </c>
    </row>
    <row r="37" spans="1:7">
      <c r="A37" s="1361"/>
      <c r="B37" s="1177" t="s">
        <v>1697</v>
      </c>
      <c r="C37" s="1361" t="s">
        <v>1698</v>
      </c>
      <c r="D37" s="1361" t="s">
        <v>680</v>
      </c>
      <c r="E37" s="1361" t="s">
        <v>1632</v>
      </c>
      <c r="F37" s="1361" t="str">
        <f>'Model outputs - Interventions'!F19</f>
        <v>PR19SES_E.2</v>
      </c>
      <c r="G37" s="1176">
        <f>'Model outputs - Interventions'!K19</f>
        <v>38</v>
      </c>
    </row>
    <row r="38" spans="1:7">
      <c r="A38" s="1361"/>
      <c r="B38" s="1177" t="s">
        <v>1699</v>
      </c>
      <c r="C38" s="1361" t="s">
        <v>1700</v>
      </c>
      <c r="D38" s="1361" t="s">
        <v>680</v>
      </c>
      <c r="E38" s="1361" t="s">
        <v>1632</v>
      </c>
      <c r="F38" s="1361" t="str">
        <f>'Model outputs - Interventions'!F20</f>
        <v>PR19SES_E.6</v>
      </c>
      <c r="G38" s="1176">
        <f>'Model outputs - Interventions'!K20</f>
        <v>17</v>
      </c>
    </row>
    <row r="39" spans="1:7">
      <c r="A39" s="1361"/>
      <c r="B39" s="1177" t="s">
        <v>1701</v>
      </c>
      <c r="C39" s="1361" t="s">
        <v>1702</v>
      </c>
      <c r="D39" s="1361" t="s">
        <v>680</v>
      </c>
      <c r="E39" s="1361" t="s">
        <v>1632</v>
      </c>
      <c r="F39" s="1361" t="str">
        <f>'Model outputs - Interventions'!F21</f>
        <v>PR19SES_A.5</v>
      </c>
      <c r="G39" s="1176">
        <f>'Model outputs - Interventions'!K21</f>
        <v>10.4</v>
      </c>
    </row>
    <row r="40" spans="1:7">
      <c r="A40" s="1361"/>
      <c r="B40" s="1177" t="s">
        <v>1703</v>
      </c>
      <c r="C40" s="1361" t="s">
        <v>1704</v>
      </c>
      <c r="D40" s="1361" t="s">
        <v>680</v>
      </c>
      <c r="E40" s="1361" t="s">
        <v>1632</v>
      </c>
      <c r="F40" s="1361" t="str">
        <f>'Model outputs - Interventions'!F22</f>
        <v>PR19SES_C.2</v>
      </c>
      <c r="G40" s="1176">
        <f>'Model outputs - Interventions'!K22</f>
        <v>91</v>
      </c>
    </row>
    <row r="41" spans="1:7">
      <c r="A41" s="1361"/>
      <c r="B41" s="1177" t="s">
        <v>1705</v>
      </c>
      <c r="C41" s="1361" t="s">
        <v>1706</v>
      </c>
      <c r="D41" s="1361" t="s">
        <v>680</v>
      </c>
      <c r="E41" s="1361" t="s">
        <v>1632</v>
      </c>
      <c r="F41" s="1361" t="str">
        <f>'Model outputs - Interventions'!F23</f>
        <v/>
      </c>
      <c r="G41" s="1176" t="str">
        <f>'Model outputs - Interventions'!K23</f>
        <v/>
      </c>
    </row>
    <row r="42" spans="1:7">
      <c r="A42" s="1361"/>
      <c r="B42" s="1177" t="s">
        <v>1707</v>
      </c>
      <c r="C42" s="1361" t="s">
        <v>1708</v>
      </c>
      <c r="D42" s="1361" t="s">
        <v>680</v>
      </c>
      <c r="E42" s="1361" t="s">
        <v>1632</v>
      </c>
      <c r="F42" s="1361" t="str">
        <f>'Model outputs - Interventions'!F24</f>
        <v/>
      </c>
      <c r="G42" s="1176" t="str">
        <f>'Model outputs - Interventions'!K24</f>
        <v/>
      </c>
    </row>
    <row r="43" spans="1:7">
      <c r="A43" s="1361"/>
      <c r="B43" s="1177" t="s">
        <v>1709</v>
      </c>
      <c r="C43" s="1361" t="s">
        <v>1710</v>
      </c>
      <c r="D43" s="1361" t="s">
        <v>680</v>
      </c>
      <c r="E43" s="1361" t="s">
        <v>1632</v>
      </c>
      <c r="F43" s="1361" t="str">
        <f>'Model outputs - Interventions'!F25</f>
        <v/>
      </c>
      <c r="G43" s="1176" t="str">
        <f>'Model outputs - Interventions'!K25</f>
        <v/>
      </c>
    </row>
    <row r="44" spans="1:7">
      <c r="A44" s="1361"/>
      <c r="B44" s="1177" t="s">
        <v>1711</v>
      </c>
      <c r="C44" s="1361" t="s">
        <v>1712</v>
      </c>
      <c r="D44" s="1361" t="s">
        <v>680</v>
      </c>
      <c r="E44" s="1361" t="s">
        <v>1632</v>
      </c>
      <c r="F44" s="1361" t="str">
        <f>'Model outputs - Interventions'!F26</f>
        <v/>
      </c>
      <c r="G44" s="1176" t="str">
        <f>'Model outputs - Interventions'!K26</f>
        <v/>
      </c>
    </row>
    <row r="45" spans="1:7">
      <c r="A45" s="1361"/>
      <c r="B45" s="1177" t="s">
        <v>1713</v>
      </c>
      <c r="C45" s="1361" t="s">
        <v>1714</v>
      </c>
      <c r="D45" s="1361" t="s">
        <v>680</v>
      </c>
      <c r="E45" s="1361" t="s">
        <v>1632</v>
      </c>
      <c r="F45" s="1361" t="str">
        <f>'Model outputs - Interventions'!F27</f>
        <v/>
      </c>
      <c r="G45" s="1176" t="str">
        <f>'Model outputs - Interventions'!K27</f>
        <v/>
      </c>
    </row>
    <row r="46" spans="1:7">
      <c r="A46" s="1361"/>
      <c r="B46" s="1177" t="s">
        <v>1715</v>
      </c>
      <c r="C46" s="1361" t="s">
        <v>1716</v>
      </c>
      <c r="D46" s="1361" t="s">
        <v>680</v>
      </c>
      <c r="E46" s="1361" t="s">
        <v>1632</v>
      </c>
      <c r="F46" s="1361" t="str">
        <f>'Model outputs - Interventions'!F28</f>
        <v/>
      </c>
      <c r="G46" s="1176" t="str">
        <f>'Model outputs - Interventions'!K28</f>
        <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
      </c>
      <c r="G53" s="1176" t="str">
        <f>'Model outputs - Interventions'!K35</f>
        <v/>
      </c>
    </row>
    <row r="54" spans="1:7">
      <c r="A54" s="1361"/>
      <c r="B54" s="1177" t="s">
        <v>1731</v>
      </c>
      <c r="C54" s="1361" t="s">
        <v>1732</v>
      </c>
      <c r="D54" s="1361" t="s">
        <v>680</v>
      </c>
      <c r="E54" s="1361" t="s">
        <v>1632</v>
      </c>
      <c r="F54" s="1361" t="str">
        <f>'Model outputs - Interventions'!F36</f>
        <v/>
      </c>
      <c r="G54" s="1176" t="str">
        <f>'Model outputs - Interventions'!K36</f>
        <v/>
      </c>
    </row>
    <row r="55" spans="1:7">
      <c r="A55" s="1361"/>
      <c r="B55" s="1177" t="s">
        <v>1733</v>
      </c>
      <c r="C55" s="1361" t="s">
        <v>1734</v>
      </c>
      <c r="D55" s="1361" t="s">
        <v>680</v>
      </c>
      <c r="E55" s="1361" t="s">
        <v>1632</v>
      </c>
      <c r="F55" s="1361" t="str">
        <f>'Model outputs - Interventions'!F37</f>
        <v/>
      </c>
      <c r="G55" s="1176" t="str">
        <f>'Model outputs - Interventions'!K37</f>
        <v/>
      </c>
    </row>
    <row r="56" spans="1:7">
      <c r="A56" s="1361"/>
      <c r="B56" s="1177" t="s">
        <v>1735</v>
      </c>
      <c r="C56" s="1361" t="s">
        <v>1736</v>
      </c>
      <c r="D56" s="1361" t="s">
        <v>680</v>
      </c>
      <c r="E56" s="1361" t="s">
        <v>1632</v>
      </c>
      <c r="F56" s="1361" t="str">
        <f>'Model outputs - Interventions'!F38</f>
        <v/>
      </c>
      <c r="G56" s="1176" t="str">
        <f>'Model outputs - Interventions'!K38</f>
        <v/>
      </c>
    </row>
    <row r="57" spans="1:7">
      <c r="A57" s="1361"/>
      <c r="B57" s="1177" t="s">
        <v>1737</v>
      </c>
      <c r="C57" s="1361" t="s">
        <v>1738</v>
      </c>
      <c r="D57" s="1361" t="s">
        <v>680</v>
      </c>
      <c r="E57" s="1361" t="s">
        <v>1632</v>
      </c>
      <c r="F57" s="1361" t="str">
        <f>'Model outputs - Interventions'!F39</f>
        <v/>
      </c>
      <c r="G57" s="1176" t="str">
        <f>'Model outputs - Interventions'!K39</f>
        <v/>
      </c>
    </row>
    <row r="58" spans="1:7">
      <c r="A58" s="1361"/>
      <c r="B58" s="1177" t="s">
        <v>1739</v>
      </c>
      <c r="C58" s="1361" t="s">
        <v>1740</v>
      </c>
      <c r="D58" s="1361" t="s">
        <v>680</v>
      </c>
      <c r="E58" s="1361" t="s">
        <v>1632</v>
      </c>
      <c r="F58" s="1361" t="str">
        <f>'Model outputs - Interventions'!F40</f>
        <v/>
      </c>
      <c r="G58" s="1176" t="str">
        <f>'Model outputs - Interventions'!K40</f>
        <v/>
      </c>
    </row>
    <row r="59" spans="1:7">
      <c r="A59" s="1361"/>
      <c r="B59" s="1177" t="s">
        <v>1741</v>
      </c>
      <c r="C59" s="1361" t="s">
        <v>1742</v>
      </c>
      <c r="D59" s="1361" t="s">
        <v>680</v>
      </c>
      <c r="E59" s="1361" t="s">
        <v>1632</v>
      </c>
      <c r="F59" s="1361" t="str">
        <f>'Model outputs - Interventions'!F41</f>
        <v/>
      </c>
      <c r="G59" s="1176" t="str">
        <f>'Model outputs - Interventions'!K41</f>
        <v/>
      </c>
    </row>
    <row r="60" spans="1:7">
      <c r="A60" s="1361"/>
      <c r="B60" s="1177" t="s">
        <v>1743</v>
      </c>
      <c r="C60" s="1361" t="s">
        <v>1744</v>
      </c>
      <c r="D60" s="1361" t="s">
        <v>680</v>
      </c>
      <c r="E60" s="1361" t="s">
        <v>1632</v>
      </c>
      <c r="F60" s="1361" t="str">
        <f>'Model outputs - Interventions'!F42</f>
        <v/>
      </c>
      <c r="G60" s="1176" t="str">
        <f>'Model outputs - Interventions'!K42</f>
        <v/>
      </c>
    </row>
    <row r="61" spans="1:7">
      <c r="A61" s="1361"/>
      <c r="B61" s="1177" t="s">
        <v>1745</v>
      </c>
      <c r="C61" s="1361" t="s">
        <v>1746</v>
      </c>
      <c r="D61" s="1361" t="s">
        <v>680</v>
      </c>
      <c r="E61" s="1361" t="s">
        <v>1632</v>
      </c>
      <c r="F61" s="1361" t="str">
        <f>'Model outputs - Interventions'!F43</f>
        <v/>
      </c>
      <c r="G61" s="1176" t="str">
        <f>'Model outputs - Interventions'!K43</f>
        <v/>
      </c>
    </row>
    <row r="62" spans="1:7">
      <c r="A62" s="1361"/>
      <c r="B62" s="1177" t="s">
        <v>1747</v>
      </c>
      <c r="C62" s="1361" t="s">
        <v>1748</v>
      </c>
      <c r="D62" s="1361" t="s">
        <v>680</v>
      </c>
      <c r="E62" s="1361" t="s">
        <v>1632</v>
      </c>
      <c r="F62" s="1361" t="str">
        <f>'Model outputs - Interventions'!F44</f>
        <v/>
      </c>
      <c r="G62" s="1176" t="str">
        <f>'Model outputs - Interventions'!K44</f>
        <v/>
      </c>
    </row>
    <row r="63" spans="1:7">
      <c r="A63" s="1361"/>
      <c r="B63" s="1177" t="s">
        <v>1749</v>
      </c>
      <c r="C63" s="1361" t="s">
        <v>1750</v>
      </c>
      <c r="D63" s="1361" t="s">
        <v>680</v>
      </c>
      <c r="E63" s="1361" t="s">
        <v>1632</v>
      </c>
      <c r="F63" s="1361" t="str">
        <f>'Model outputs - Interventions'!F45</f>
        <v/>
      </c>
      <c r="G63" s="1176" t="str">
        <f>'Model outputs - Interventions'!K45</f>
        <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PR19SES_A.4</v>
      </c>
      <c r="G71" s="1176">
        <f>'Model outputs - Interventions'!P7</f>
        <v>0</v>
      </c>
    </row>
    <row r="72" spans="1:7">
      <c r="A72" s="1361"/>
      <c r="B72" s="1177" t="s">
        <v>1767</v>
      </c>
      <c r="C72" s="1361" t="s">
        <v>1768</v>
      </c>
      <c r="D72" s="1361" t="s">
        <v>148</v>
      </c>
      <c r="E72" s="1361" t="s">
        <v>1632</v>
      </c>
      <c r="F72" s="1361" t="str">
        <f>'Model outputs - Interventions'!F8</f>
        <v>PR19SES_A.1</v>
      </c>
      <c r="G72" s="1176">
        <f>'Model outputs - Interventions'!P8</f>
        <v>-1.4499833333333334</v>
      </c>
    </row>
    <row r="73" spans="1:7">
      <c r="A73" s="1361"/>
      <c r="B73" s="1177" t="s">
        <v>1769</v>
      </c>
      <c r="C73" s="1361" t="s">
        <v>1770</v>
      </c>
      <c r="D73" s="1361" t="s">
        <v>148</v>
      </c>
      <c r="E73" s="1361" t="s">
        <v>1632</v>
      </c>
      <c r="F73" s="1361" t="str">
        <f>'Model outputs - Interventions'!F9</f>
        <v>PR19SES_C.4</v>
      </c>
      <c r="G73" s="1176">
        <f>'Model outputs - Interventions'!P9</f>
        <v>0</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PR19SES_E.1</v>
      </c>
      <c r="G75" s="1176">
        <f>'Model outputs - Interventions'!P11</f>
        <v>-0.76559999999999995</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PR19SES_A.2</v>
      </c>
      <c r="G77" s="1176">
        <f>'Model outputs - Interventions'!P13</f>
        <v>-6.3799999999999968E-2</v>
      </c>
    </row>
    <row r="78" spans="1:7">
      <c r="A78" s="1361"/>
      <c r="B78" s="1177" t="s">
        <v>1779</v>
      </c>
      <c r="C78" s="1361" t="s">
        <v>1780</v>
      </c>
      <c r="D78" s="1361" t="s">
        <v>148</v>
      </c>
      <c r="E78" s="1361" t="s">
        <v>1632</v>
      </c>
      <c r="F78" s="1361" t="str">
        <f>'Model outputs - Interventions'!F14</f>
        <v>PR19SES_C.3</v>
      </c>
      <c r="G78" s="1176">
        <f>'Model outputs - Interventions'!P14</f>
        <v>-0.29391999999999996</v>
      </c>
    </row>
    <row r="79" spans="1:7">
      <c r="A79" s="1361"/>
      <c r="B79" s="1177" t="s">
        <v>1781</v>
      </c>
      <c r="C79" s="1361" t="s">
        <v>1782</v>
      </c>
      <c r="D79" s="1361" t="s">
        <v>148</v>
      </c>
      <c r="E79" s="1361" t="s">
        <v>1632</v>
      </c>
      <c r="F79" s="1361" t="str">
        <f>'Model outputs - Interventions'!F15</f>
        <v>PR19SES_A.3</v>
      </c>
      <c r="G79" s="1176">
        <f>'Model outputs - Interventions'!P15</f>
        <v>-6.3679999999999973E-2</v>
      </c>
    </row>
    <row r="80" spans="1:7">
      <c r="A80" s="1361"/>
      <c r="B80" s="1177" t="s">
        <v>1783</v>
      </c>
      <c r="C80" s="1361" t="s">
        <v>1784</v>
      </c>
      <c r="D80" s="1361" t="s">
        <v>148</v>
      </c>
      <c r="E80" s="1361" t="s">
        <v>1632</v>
      </c>
      <c r="F80" s="1361" t="str">
        <f>'Model outputs - Interventions'!F16</f>
        <v>PR19SES_B.1</v>
      </c>
      <c r="G80" s="1176">
        <f>'Model outputs - Interventions'!P16</f>
        <v>0</v>
      </c>
    </row>
    <row r="81" spans="1:7">
      <c r="A81" s="1361"/>
      <c r="B81" s="1177" t="s">
        <v>1785</v>
      </c>
      <c r="C81" s="1361" t="s">
        <v>1786</v>
      </c>
      <c r="D81" s="1361" t="s">
        <v>148</v>
      </c>
      <c r="E81" s="1361" t="s">
        <v>1632</v>
      </c>
      <c r="F81" s="1361" t="str">
        <f>'Model outputs - Interventions'!F17</f>
        <v>PR19SES_B.4</v>
      </c>
      <c r="G81" s="1176">
        <f>'Model outputs - Interventions'!P17</f>
        <v>5.0610000000000044E-2</v>
      </c>
    </row>
    <row r="82" spans="1:7">
      <c r="A82" s="1361"/>
      <c r="B82" s="1177" t="s">
        <v>1787</v>
      </c>
      <c r="C82" s="1361" t="s">
        <v>1788</v>
      </c>
      <c r="D82" s="1361" t="s">
        <v>148</v>
      </c>
      <c r="E82" s="1361" t="s">
        <v>1632</v>
      </c>
      <c r="F82" s="1361" t="str">
        <f>'Model outputs - Interventions'!F18</f>
        <v>PR19SES_D.1</v>
      </c>
      <c r="G82" s="1176">
        <f>'Model outputs - Interventions'!P18</f>
        <v>0</v>
      </c>
    </row>
    <row r="83" spans="1:7">
      <c r="A83" s="1361"/>
      <c r="B83" s="1177" t="s">
        <v>1789</v>
      </c>
      <c r="C83" s="1361" t="s">
        <v>1790</v>
      </c>
      <c r="D83" s="1361" t="s">
        <v>148</v>
      </c>
      <c r="E83" s="1361" t="s">
        <v>1632</v>
      </c>
      <c r="F83" s="1361" t="str">
        <f>'Model outputs - Interventions'!F19</f>
        <v>PR19SES_E.2</v>
      </c>
      <c r="G83" s="1176">
        <f>'Model outputs - Interventions'!P19</f>
        <v>0</v>
      </c>
    </row>
    <row r="84" spans="1:7">
      <c r="A84" s="1361"/>
      <c r="B84" s="1177" t="s">
        <v>1791</v>
      </c>
      <c r="C84" s="1361" t="s">
        <v>1792</v>
      </c>
      <c r="D84" s="1361" t="s">
        <v>148</v>
      </c>
      <c r="E84" s="1361" t="s">
        <v>1632</v>
      </c>
      <c r="F84" s="1361" t="str">
        <f>'Model outputs - Interventions'!F20</f>
        <v>PR19SES_E.6</v>
      </c>
      <c r="G84" s="1176">
        <f>'Model outputs - Interventions'!P20</f>
        <v>-2.9750000000000002E-2</v>
      </c>
    </row>
    <row r="85" spans="1:7">
      <c r="A85" s="1361"/>
      <c r="B85" s="1177" t="s">
        <v>1793</v>
      </c>
      <c r="C85" s="1361" t="s">
        <v>1794</v>
      </c>
      <c r="D85" s="1361" t="s">
        <v>148</v>
      </c>
      <c r="E85" s="1361" t="s">
        <v>1632</v>
      </c>
      <c r="F85" s="1361" t="str">
        <f>'Model outputs - Interventions'!F21</f>
        <v>PR19SES_A.5</v>
      </c>
      <c r="G85" s="1176">
        <f>'Model outputs - Interventions'!P21</f>
        <v>-0.29327999999999999</v>
      </c>
    </row>
    <row r="86" spans="1:7">
      <c r="A86" s="1361"/>
      <c r="B86" s="1177" t="s">
        <v>1795</v>
      </c>
      <c r="C86" s="1361" t="s">
        <v>1796</v>
      </c>
      <c r="D86" s="1361" t="s">
        <v>148</v>
      </c>
      <c r="E86" s="1361" t="s">
        <v>1632</v>
      </c>
      <c r="F86" s="1361" t="str">
        <f>'Model outputs - Interventions'!F22</f>
        <v>PR19SES_C.2</v>
      </c>
      <c r="G86" s="1176">
        <f>'Model outputs - Interventions'!P22</f>
        <v>-5.7600000000000005E-2</v>
      </c>
    </row>
    <row r="87" spans="1:7">
      <c r="A87" s="1361"/>
      <c r="B87" s="1177" t="s">
        <v>1797</v>
      </c>
      <c r="C87" s="1361" t="s">
        <v>1798</v>
      </c>
      <c r="D87" s="1361" t="s">
        <v>148</v>
      </c>
      <c r="E87" s="1361" t="s">
        <v>1632</v>
      </c>
      <c r="F87" s="1361" t="str">
        <f>'Model outputs - Interventions'!F23</f>
        <v/>
      </c>
      <c r="G87" s="1176">
        <f>'Model outputs - Interventions'!P23</f>
        <v>0</v>
      </c>
    </row>
    <row r="88" spans="1:7">
      <c r="A88" s="1361"/>
      <c r="B88" s="1177" t="s">
        <v>1799</v>
      </c>
      <c r="C88" s="1361" t="s">
        <v>1800</v>
      </c>
      <c r="D88" s="1361" t="s">
        <v>148</v>
      </c>
      <c r="E88" s="1361" t="s">
        <v>1632</v>
      </c>
      <c r="F88" s="1361" t="str">
        <f>'Model outputs - Interventions'!F24</f>
        <v/>
      </c>
      <c r="G88" s="1176">
        <f>'Model outputs - Interventions'!P24</f>
        <v>0</v>
      </c>
    </row>
    <row r="89" spans="1:7">
      <c r="A89" s="1361"/>
      <c r="B89" s="1177" t="s">
        <v>1801</v>
      </c>
      <c r="C89" s="1361" t="s">
        <v>1802</v>
      </c>
      <c r="D89" s="1361" t="s">
        <v>148</v>
      </c>
      <c r="E89" s="1361" t="s">
        <v>1632</v>
      </c>
      <c r="F89" s="1361" t="str">
        <f>'Model outputs - Interventions'!F25</f>
        <v/>
      </c>
      <c r="G89" s="1176">
        <f>'Model outputs - Interventions'!P25</f>
        <v>0</v>
      </c>
    </row>
    <row r="90" spans="1:7">
      <c r="A90" s="1361"/>
      <c r="B90" s="1177" t="s">
        <v>1803</v>
      </c>
      <c r="C90" s="1361" t="s">
        <v>1804</v>
      </c>
      <c r="D90" s="1361" t="s">
        <v>148</v>
      </c>
      <c r="E90" s="1361" t="s">
        <v>1632</v>
      </c>
      <c r="F90" s="1361" t="str">
        <f>'Model outputs - Interventions'!F26</f>
        <v/>
      </c>
      <c r="G90" s="1176">
        <f>'Model outputs - Interventions'!P26</f>
        <v>0</v>
      </c>
    </row>
    <row r="91" spans="1:7">
      <c r="A91" s="1361"/>
      <c r="B91" s="1177" t="s">
        <v>1805</v>
      </c>
      <c r="C91" s="1361" t="s">
        <v>1806</v>
      </c>
      <c r="D91" s="1361" t="s">
        <v>148</v>
      </c>
      <c r="E91" s="1361" t="s">
        <v>1632</v>
      </c>
      <c r="F91" s="1361" t="str">
        <f>'Model outputs - Interventions'!F27</f>
        <v/>
      </c>
      <c r="G91" s="1176">
        <f>'Model outputs - Interventions'!P27</f>
        <v>0</v>
      </c>
    </row>
    <row r="92" spans="1:7">
      <c r="A92" s="1361"/>
      <c r="B92" s="1177" t="s">
        <v>1807</v>
      </c>
      <c r="C92" s="1361" t="s">
        <v>1808</v>
      </c>
      <c r="D92" s="1361" t="s">
        <v>148</v>
      </c>
      <c r="E92" s="1361" t="s">
        <v>1632</v>
      </c>
      <c r="F92" s="1361" t="str">
        <f>'Model outputs - Interventions'!F28</f>
        <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
      </c>
      <c r="G99" s="1176">
        <f>'Model outputs - Interventions'!P35</f>
        <v>0</v>
      </c>
    </row>
    <row r="100" spans="1:7">
      <c r="A100" s="1361"/>
      <c r="B100" s="1177" t="s">
        <v>1823</v>
      </c>
      <c r="C100" s="1361" t="s">
        <v>1824</v>
      </c>
      <c r="D100" s="1361" t="s">
        <v>148</v>
      </c>
      <c r="E100" s="1361" t="s">
        <v>1632</v>
      </c>
      <c r="F100" s="1361" t="str">
        <f>'Model outputs - Interventions'!F36</f>
        <v/>
      </c>
      <c r="G100" s="1176">
        <f>'Model outputs - Interventions'!P36</f>
        <v>0</v>
      </c>
    </row>
    <row r="101" spans="1:7">
      <c r="A101" s="1361"/>
      <c r="B101" s="1177" t="s">
        <v>1825</v>
      </c>
      <c r="C101" s="1361" t="s">
        <v>1826</v>
      </c>
      <c r="D101" s="1361" t="s">
        <v>148</v>
      </c>
      <c r="E101" s="1361" t="s">
        <v>1632</v>
      </c>
      <c r="F101" s="1361" t="str">
        <f>'Model outputs - Interventions'!F37</f>
        <v/>
      </c>
      <c r="G101" s="1176">
        <f>'Model outputs - Interventions'!P37</f>
        <v>0</v>
      </c>
    </row>
    <row r="102" spans="1:7">
      <c r="A102" s="1361"/>
      <c r="B102" s="1177" t="s">
        <v>1827</v>
      </c>
      <c r="C102" s="1361" t="s">
        <v>1828</v>
      </c>
      <c r="D102" s="1361" t="s">
        <v>148</v>
      </c>
      <c r="E102" s="1361" t="s">
        <v>1632</v>
      </c>
      <c r="F102" s="1361" t="str">
        <f>'Model outputs - Interventions'!F38</f>
        <v/>
      </c>
      <c r="G102" s="1176">
        <f>'Model outputs - Interventions'!P38</f>
        <v>0</v>
      </c>
    </row>
    <row r="103" spans="1:7">
      <c r="A103" s="1361"/>
      <c r="B103" s="1177" t="s">
        <v>1829</v>
      </c>
      <c r="C103" s="1361" t="s">
        <v>1830</v>
      </c>
      <c r="D103" s="1361" t="s">
        <v>148</v>
      </c>
      <c r="E103" s="1361" t="s">
        <v>1632</v>
      </c>
      <c r="F103" s="1361" t="str">
        <f>'Model outputs - Interventions'!F39</f>
        <v/>
      </c>
      <c r="G103" s="1176">
        <f>'Model outputs - Interventions'!P39</f>
        <v>0</v>
      </c>
    </row>
    <row r="104" spans="1:7">
      <c r="A104" s="1361"/>
      <c r="B104" s="1177" t="s">
        <v>1831</v>
      </c>
      <c r="C104" s="1361" t="s">
        <v>1832</v>
      </c>
      <c r="D104" s="1361" t="s">
        <v>148</v>
      </c>
      <c r="E104" s="1361" t="s">
        <v>1632</v>
      </c>
      <c r="F104" s="1361" t="str">
        <f>'Model outputs - Interventions'!F40</f>
        <v/>
      </c>
      <c r="G104" s="1176">
        <f>'Model outputs - Interventions'!P40</f>
        <v>0</v>
      </c>
    </row>
    <row r="105" spans="1:7">
      <c r="A105" s="1361"/>
      <c r="B105" s="1177" t="s">
        <v>1833</v>
      </c>
      <c r="C105" s="1361" t="s">
        <v>1834</v>
      </c>
      <c r="D105" s="1361" t="s">
        <v>148</v>
      </c>
      <c r="E105" s="1361" t="s">
        <v>1632</v>
      </c>
      <c r="F105" s="1361" t="str">
        <f>'Model outputs - Interventions'!F41</f>
        <v/>
      </c>
      <c r="G105" s="1176">
        <f>'Model outputs - Interventions'!P41</f>
        <v>0</v>
      </c>
    </row>
    <row r="106" spans="1:7">
      <c r="A106" s="1361"/>
      <c r="B106" s="1177" t="s">
        <v>1835</v>
      </c>
      <c r="C106" s="1361" t="s">
        <v>1836</v>
      </c>
      <c r="D106" s="1361" t="s">
        <v>148</v>
      </c>
      <c r="E106" s="1361" t="s">
        <v>1632</v>
      </c>
      <c r="F106" s="1361" t="str">
        <f>'Model outputs - Interventions'!F42</f>
        <v/>
      </c>
      <c r="G106" s="1176">
        <f>'Model outputs - Interventions'!P42</f>
        <v>0</v>
      </c>
    </row>
    <row r="107" spans="1:7">
      <c r="A107" s="1361"/>
      <c r="B107" s="1177" t="s">
        <v>1837</v>
      </c>
      <c r="C107" s="1361" t="s">
        <v>1838</v>
      </c>
      <c r="D107" s="1361" t="s">
        <v>148</v>
      </c>
      <c r="E107" s="1361" t="s">
        <v>1632</v>
      </c>
      <c r="F107" s="1361" t="str">
        <f>'Model outputs - Interventions'!F43</f>
        <v/>
      </c>
      <c r="G107" s="1176">
        <f>'Model outputs - Interventions'!P43</f>
        <v>0</v>
      </c>
    </row>
    <row r="108" spans="1:7">
      <c r="A108" s="1361"/>
      <c r="B108" s="1177" t="s">
        <v>1839</v>
      </c>
      <c r="C108" s="1361" t="s">
        <v>1840</v>
      </c>
      <c r="D108" s="1361" t="s">
        <v>148</v>
      </c>
      <c r="E108" s="1361" t="s">
        <v>1632</v>
      </c>
      <c r="F108" s="1361" t="str">
        <f>'Model outputs - Interventions'!F44</f>
        <v/>
      </c>
      <c r="G108" s="1176">
        <f>'Model outputs - Interventions'!P44</f>
        <v>0</v>
      </c>
    </row>
    <row r="109" spans="1:7">
      <c r="A109" s="1361"/>
      <c r="B109" s="1177" t="s">
        <v>1841</v>
      </c>
      <c r="C109" s="1361" t="s">
        <v>1842</v>
      </c>
      <c r="D109" s="1361" t="s">
        <v>148</v>
      </c>
      <c r="E109" s="1361" t="s">
        <v>1632</v>
      </c>
      <c r="F109" s="1361" t="str">
        <f>'Model outputs - Interventions'!F45</f>
        <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[…]11/02/2026 11:41:47</v>
      </c>
    </row>
    <row r="118" spans="1:7">
      <c r="A118" s="1361"/>
      <c r="B118" s="1361" t="s">
        <v>1859</v>
      </c>
      <c r="C118" s="1361" t="s">
        <v>1860</v>
      </c>
      <c r="D118" s="1361" t="s">
        <v>850</v>
      </c>
      <c r="E118" s="1361" t="s">
        <v>1632</v>
      </c>
      <c r="F118" s="1361"/>
      <c r="G118" s="1488" t="str">
        <f ca="1">MID(CELL("filename"),SEARCH("[",CELL("filename"))+1,SEARCH("]",CELL("filename"))-SEARCH("[",CELL("filename"))-1)</f>
        <v>APR Table Updates 10.02.26.xlsx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4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ustomHeight="1">
      <c r="A3" s="1535"/>
      <c r="B3" s="1488" t="s">
        <v>4877</v>
      </c>
      <c r="D3" s="1536" t="s">
        <v>4878</v>
      </c>
      <c r="E3" s="2475" t="s">
        <v>4879</v>
      </c>
      <c r="F3" s="2476"/>
      <c r="G3" s="1534"/>
      <c r="H3" s="1534"/>
      <c r="I3" s="1534"/>
      <c r="J3" s="1534"/>
      <c r="K3" s="1534"/>
      <c r="L3" s="1533"/>
    </row>
    <row r="4" spans="1:107" s="1342" customFormat="1" ht="14.5">
      <c r="A4" s="1537"/>
      <c r="B4" s="1488" t="s">
        <v>4880</v>
      </c>
      <c r="D4" s="1536"/>
      <c r="E4" s="1536"/>
      <c r="F4" s="1534"/>
      <c r="G4" s="1534"/>
      <c r="H4" s="1534"/>
      <c r="I4" s="1534"/>
      <c r="J4" s="1534"/>
      <c r="K4" s="1534"/>
      <c r="L4" s="1533"/>
    </row>
    <row r="5" spans="1:107" s="1342" customFormat="1" ht="14.5">
      <c r="A5" s="1538"/>
      <c r="B5" s="1488" t="s">
        <v>4881</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5610</v>
      </c>
      <c r="D7" s="1533"/>
      <c r="E7" s="1533"/>
      <c r="F7" s="1534"/>
      <c r="G7" s="1534"/>
      <c r="H7" s="1534"/>
      <c r="I7" s="1534"/>
      <c r="J7" s="1534"/>
      <c r="K7" s="1534"/>
      <c r="L7" s="1533"/>
    </row>
    <row r="8" spans="1:107" s="1342" customFormat="1" ht="14.5">
      <c r="A8" s="2364"/>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87">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9">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9">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9">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9">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9">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9">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9">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9">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9">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9">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9">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9">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9">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9">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9">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9">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9">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8">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9">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9">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9">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9">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9">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9">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9">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9">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9">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9">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9">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9">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9">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9">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9">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9">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9">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9">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9">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9">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9">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9">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9">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9">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9">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9">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9">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9">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9">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9">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9">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9">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9">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9">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2.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5">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9">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8">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9">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8">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8">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7">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7">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7">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7">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7">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7">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7">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7">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7">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7">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7">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7">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7">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7">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7">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9">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6">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9">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9">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9">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9">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9">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9">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9">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9">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9">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9">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9">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9">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7">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7">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9">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9">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9">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9">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9">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9">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9">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9">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9">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9">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14.5">
      <c r="A472" s="2377">
        <f t="shared" si="1"/>
        <v>463</v>
      </c>
      <c r="B472" s="2378" t="s">
        <v>721</v>
      </c>
      <c r="C472" s="2378" t="s">
        <v>3062</v>
      </c>
      <c r="D472" s="2379" t="s">
        <v>3064</v>
      </c>
      <c r="E472" s="2379" t="s">
        <v>5611</v>
      </c>
      <c r="F472" s="2377" t="s">
        <v>4896</v>
      </c>
      <c r="G472" s="2380">
        <v>41</v>
      </c>
      <c r="H472" s="2379" t="s">
        <v>1868</v>
      </c>
      <c r="I472" s="2380" t="s">
        <v>651</v>
      </c>
      <c r="J472" s="2377">
        <v>39</v>
      </c>
      <c r="K472" s="2377">
        <v>38</v>
      </c>
      <c r="L472" s="2379" t="s">
        <v>5612</v>
      </c>
      <c r="M472" s="2381">
        <v>45190</v>
      </c>
    </row>
    <row r="473" spans="1:13" s="1342" customFormat="1" ht="29">
      <c r="A473" s="2273">
        <f t="shared" si="1"/>
        <v>464</v>
      </c>
      <c r="B473" s="2208" t="s">
        <v>682</v>
      </c>
      <c r="C473" s="2208" t="s">
        <v>3542</v>
      </c>
      <c r="D473" s="2209" t="s">
        <v>3544</v>
      </c>
      <c r="E473" s="2209" t="s">
        <v>682</v>
      </c>
      <c r="F473" s="2207" t="s">
        <v>4896</v>
      </c>
      <c r="G473" s="2210">
        <v>67</v>
      </c>
      <c r="H473" s="2209" t="s">
        <v>1870</v>
      </c>
      <c r="I473" s="2210" t="s">
        <v>5161</v>
      </c>
      <c r="J473" s="2207">
        <v>0</v>
      </c>
      <c r="K473" s="2207" t="s">
        <v>5162</v>
      </c>
      <c r="L473" s="2209" t="s">
        <v>5163</v>
      </c>
      <c r="M473" s="2211">
        <v>45681</v>
      </c>
    </row>
    <row r="474" spans="1:13" s="1342" customFormat="1" ht="29">
      <c r="A474" s="2273">
        <f t="shared" si="1"/>
        <v>465</v>
      </c>
      <c r="B474" s="2352" t="s">
        <v>682</v>
      </c>
      <c r="C474" s="2208" t="s">
        <v>3542</v>
      </c>
      <c r="D474" s="2209" t="s">
        <v>3544</v>
      </c>
      <c r="E474" s="2209" t="s">
        <v>682</v>
      </c>
      <c r="F474" s="2207" t="s">
        <v>4896</v>
      </c>
      <c r="G474" s="2210">
        <v>77</v>
      </c>
      <c r="H474" s="2209" t="s">
        <v>1872</v>
      </c>
      <c r="I474" s="2210" t="s">
        <v>5161</v>
      </c>
      <c r="J474" s="2207">
        <v>0</v>
      </c>
      <c r="K474" s="2207" t="s">
        <v>5162</v>
      </c>
      <c r="L474" s="2209" t="s">
        <v>5163</v>
      </c>
      <c r="M474" s="2211">
        <v>45681</v>
      </c>
    </row>
    <row r="475" spans="1:13" s="1342" customFormat="1" ht="29">
      <c r="A475" s="2273">
        <f t="shared" si="1"/>
        <v>466</v>
      </c>
      <c r="B475" s="2208" t="s">
        <v>682</v>
      </c>
      <c r="C475" s="2208" t="s">
        <v>3542</v>
      </c>
      <c r="D475" s="2209" t="s">
        <v>3544</v>
      </c>
      <c r="E475" s="2209" t="s">
        <v>682</v>
      </c>
      <c r="F475" s="2207" t="s">
        <v>4896</v>
      </c>
      <c r="G475" s="2210">
        <v>82</v>
      </c>
      <c r="H475" s="2209" t="s">
        <v>1873</v>
      </c>
      <c r="I475" s="2210" t="s">
        <v>5161</v>
      </c>
      <c r="J475" s="2207">
        <v>0</v>
      </c>
      <c r="K475" s="2207" t="s">
        <v>5162</v>
      </c>
      <c r="L475" s="2209" t="s">
        <v>5163</v>
      </c>
      <c r="M475" s="2211">
        <v>45681</v>
      </c>
    </row>
    <row r="476" spans="1:13" s="1342" customFormat="1" ht="29">
      <c r="A476" s="2273">
        <f t="shared" si="1"/>
        <v>467</v>
      </c>
      <c r="B476" s="2208" t="s">
        <v>682</v>
      </c>
      <c r="C476" s="2208" t="s">
        <v>3542</v>
      </c>
      <c r="D476" s="2209" t="s">
        <v>3544</v>
      </c>
      <c r="E476" s="2209" t="s">
        <v>682</v>
      </c>
      <c r="F476" s="2207" t="s">
        <v>4896</v>
      </c>
      <c r="G476" s="2210">
        <v>92</v>
      </c>
      <c r="H476" s="2209" t="s">
        <v>1875</v>
      </c>
      <c r="I476" s="2210" t="s">
        <v>5161</v>
      </c>
      <c r="J476" s="2207">
        <v>0</v>
      </c>
      <c r="K476" s="2207" t="s">
        <v>5162</v>
      </c>
      <c r="L476" s="2209" t="s">
        <v>5163</v>
      </c>
      <c r="M476" s="2211">
        <v>45681</v>
      </c>
    </row>
    <row r="477" spans="1:13" s="1342" customFormat="1" ht="29">
      <c r="A477" s="2273">
        <f t="shared" si="1"/>
        <v>468</v>
      </c>
      <c r="B477" s="2208" t="s">
        <v>692</v>
      </c>
      <c r="C477" s="2208" t="s">
        <v>4742</v>
      </c>
      <c r="D477" s="2209" t="s">
        <v>4745</v>
      </c>
      <c r="E477" s="2209" t="s">
        <v>494</v>
      </c>
      <c r="F477" s="2207" t="s">
        <v>4896</v>
      </c>
      <c r="G477" s="2210">
        <v>41</v>
      </c>
      <c r="H477" s="2209" t="s">
        <v>1868</v>
      </c>
      <c r="I477" s="2207" t="s">
        <v>92</v>
      </c>
      <c r="J477" s="2207">
        <v>14.4</v>
      </c>
      <c r="K477" s="2207">
        <v>12.62</v>
      </c>
      <c r="L477" s="2209" t="s">
        <v>5164</v>
      </c>
      <c r="M477" s="2211">
        <v>45681</v>
      </c>
    </row>
    <row r="478" spans="1:13" s="1342" customFormat="1" ht="29">
      <c r="A478" s="2273">
        <f t="shared" si="1"/>
        <v>469</v>
      </c>
      <c r="B478" s="2208" t="s">
        <v>692</v>
      </c>
      <c r="C478" s="2208" t="s">
        <v>4742</v>
      </c>
      <c r="D478" s="2209" t="s">
        <v>4745</v>
      </c>
      <c r="E478" s="2209" t="s">
        <v>494</v>
      </c>
      <c r="F478" s="2207" t="s">
        <v>4896</v>
      </c>
      <c r="G478" s="2210">
        <v>97</v>
      </c>
      <c r="H478" s="2209" t="s">
        <v>5165</v>
      </c>
      <c r="I478" s="2207" t="s">
        <v>725</v>
      </c>
      <c r="J478" s="2207">
        <v>-0.39100000000000001</v>
      </c>
      <c r="K478" s="2207">
        <v>-0.39063300000000001</v>
      </c>
      <c r="L478" s="2209" t="s">
        <v>5164</v>
      </c>
      <c r="M478" s="2211">
        <v>45681</v>
      </c>
    </row>
    <row r="479" spans="1:13" s="1342" customFormat="1" ht="14.5">
      <c r="A479" s="2273">
        <f t="shared" si="1"/>
        <v>470</v>
      </c>
      <c r="B479" s="2208" t="s">
        <v>679</v>
      </c>
      <c r="C479" s="2208" t="s">
        <v>2724</v>
      </c>
      <c r="D479" s="2209" t="s">
        <v>2726</v>
      </c>
      <c r="E479" s="2209" t="s">
        <v>494</v>
      </c>
      <c r="F479" s="2207" t="s">
        <v>4896</v>
      </c>
      <c r="G479" s="2210">
        <v>97</v>
      </c>
      <c r="H479" s="2209" t="s">
        <v>5165</v>
      </c>
      <c r="I479" s="2207" t="s">
        <v>725</v>
      </c>
      <c r="J479" s="2207">
        <v>-2.7400000000000001E-2</v>
      </c>
      <c r="K479" s="2207">
        <v>-4.5600000000000002E-2</v>
      </c>
      <c r="L479" s="2209" t="s">
        <v>5164</v>
      </c>
      <c r="M479" s="2211">
        <v>45681</v>
      </c>
    </row>
    <row r="480" spans="1:13" s="1342" customFormat="1" ht="43.5">
      <c r="A480" s="2273">
        <f t="shared" si="1"/>
        <v>471</v>
      </c>
      <c r="B480" s="2352" t="s">
        <v>704</v>
      </c>
      <c r="C480" s="2352" t="s">
        <v>4595</v>
      </c>
      <c r="D480" s="2367" t="s">
        <v>5606</v>
      </c>
      <c r="E480" s="2367" t="s">
        <v>4767</v>
      </c>
      <c r="F480" s="2273" t="s">
        <v>4896</v>
      </c>
      <c r="G480" s="2368">
        <v>22</v>
      </c>
      <c r="H480" s="2367" t="s">
        <v>140</v>
      </c>
      <c r="I480" s="2273" t="s">
        <v>725</v>
      </c>
      <c r="J480" s="2273">
        <v>2</v>
      </c>
      <c r="K480" s="2273">
        <v>1</v>
      </c>
      <c r="L480" s="2367" t="s">
        <v>5607</v>
      </c>
      <c r="M480" s="2369">
        <v>45790</v>
      </c>
    </row>
    <row r="481" spans="1:13" s="1342" customFormat="1" ht="14.5">
      <c r="A481" s="1826">
        <f t="shared" si="1"/>
        <v>472</v>
      </c>
      <c r="B481" s="2373"/>
      <c r="C481" s="2373"/>
      <c r="D481" s="2374"/>
      <c r="E481" s="2374"/>
      <c r="F481" s="2372"/>
      <c r="G481" s="2375"/>
      <c r="H481" s="2374"/>
      <c r="I481" s="2375"/>
      <c r="J481" s="2372"/>
      <c r="K481" s="2372"/>
      <c r="L481" s="2374"/>
      <c r="M481" s="2376"/>
    </row>
    <row r="482" spans="1:13" s="1342" customFormat="1" ht="14.5">
      <c r="A482" s="1826">
        <f t="shared" si="1"/>
        <v>473</v>
      </c>
      <c r="B482" s="2373"/>
      <c r="C482" s="2373"/>
      <c r="D482" s="2374"/>
      <c r="E482" s="2374"/>
      <c r="F482" s="2372"/>
      <c r="G482" s="2375"/>
      <c r="H482" s="2374"/>
      <c r="I482" s="2375"/>
      <c r="J482" s="2372"/>
      <c r="K482" s="2372"/>
      <c r="L482" s="2374"/>
      <c r="M482" s="2376"/>
    </row>
    <row r="483" spans="1:13" s="1342" customFormat="1" ht="14.5">
      <c r="A483" s="1826">
        <f t="shared" si="1"/>
        <v>474</v>
      </c>
      <c r="B483" s="2373"/>
      <c r="C483" s="2373"/>
      <c r="D483" s="2374"/>
      <c r="E483" s="2374"/>
      <c r="F483" s="2372"/>
      <c r="G483" s="2375"/>
      <c r="H483" s="2374"/>
      <c r="I483" s="2375"/>
      <c r="J483" s="2372"/>
      <c r="K483" s="2372"/>
      <c r="L483" s="2374"/>
      <c r="M483" s="2376"/>
    </row>
    <row r="484" spans="1:13" s="1342" customFormat="1" ht="14.5">
      <c r="A484" s="1826">
        <f t="shared" si="1"/>
        <v>475</v>
      </c>
      <c r="B484" s="2373"/>
      <c r="C484" s="2373"/>
      <c r="D484" s="2374"/>
      <c r="E484" s="2374"/>
      <c r="F484" s="2372"/>
      <c r="G484" s="2375"/>
      <c r="H484" s="2374"/>
      <c r="I484" s="2375"/>
      <c r="J484" s="2372"/>
      <c r="K484" s="2372"/>
      <c r="L484" s="2374"/>
      <c r="M484" s="2376"/>
    </row>
    <row r="485" spans="1:13" s="1342" customFormat="1" ht="14.5">
      <c r="A485" s="1826">
        <f t="shared" si="1"/>
        <v>476</v>
      </c>
      <c r="B485" s="2373"/>
      <c r="C485" s="2373"/>
      <c r="D485" s="2374"/>
      <c r="E485" s="2374"/>
      <c r="F485" s="2372"/>
      <c r="G485" s="2375"/>
      <c r="H485" s="2374"/>
      <c r="I485" s="2372"/>
      <c r="J485" s="2372"/>
      <c r="K485" s="2372"/>
      <c r="L485" s="2374"/>
      <c r="M485" s="2376"/>
    </row>
    <row r="486" spans="1:13" s="1342" customFormat="1" ht="14.5">
      <c r="A486" s="1826">
        <f t="shared" si="1"/>
        <v>477</v>
      </c>
      <c r="B486" s="2373"/>
      <c r="C486" s="2373"/>
      <c r="D486" s="2374"/>
      <c r="E486" s="2374"/>
      <c r="F486" s="2372"/>
      <c r="G486" s="2375"/>
      <c r="H486" s="2374"/>
      <c r="I486" s="2372"/>
      <c r="J486" s="2372"/>
      <c r="K486" s="2372"/>
      <c r="L486" s="2374"/>
      <c r="M486" s="2376"/>
    </row>
    <row r="487" spans="1:13" s="1342" customFormat="1" ht="14.5">
      <c r="A487" s="1826">
        <f t="shared" si="1"/>
        <v>478</v>
      </c>
      <c r="B487" s="2373"/>
      <c r="C487" s="2373"/>
      <c r="D487" s="2374"/>
      <c r="E487" s="2374"/>
      <c r="F487" s="2372"/>
      <c r="G487" s="2375"/>
      <c r="H487" s="2374"/>
      <c r="I487" s="2372"/>
      <c r="J487" s="2372"/>
      <c r="K487" s="2372"/>
      <c r="L487" s="2374"/>
      <c r="M487" s="2376"/>
    </row>
    <row r="488" spans="1:13" s="1342" customFormat="1" ht="14.5">
      <c r="A488" s="1826">
        <f t="shared" si="1"/>
        <v>479</v>
      </c>
      <c r="B488" s="2373"/>
      <c r="C488" s="2373"/>
      <c r="D488" s="2374"/>
      <c r="E488" s="2374"/>
      <c r="F488" s="2372"/>
      <c r="G488" s="2375"/>
      <c r="H488" s="2374"/>
      <c r="I488" s="2372"/>
      <c r="J488" s="2372"/>
      <c r="K488" s="2372"/>
      <c r="L488" s="2374"/>
      <c r="M488" s="2376"/>
    </row>
    <row r="489" spans="1:13" s="1342" customFormat="1" ht="14.5">
      <c r="A489" s="1826">
        <f t="shared" si="1"/>
        <v>480</v>
      </c>
      <c r="B489" s="1827"/>
      <c r="C489" s="1827"/>
      <c r="D489" s="1828"/>
      <c r="E489" s="1828"/>
      <c r="F489" s="1826"/>
      <c r="G489" s="1829"/>
      <c r="H489" s="1828"/>
      <c r="I489" s="1826"/>
      <c r="J489" s="1826"/>
      <c r="K489" s="1826"/>
      <c r="L489" s="1828"/>
      <c r="M489" s="1830"/>
    </row>
    <row r="490" spans="1:13" s="1342" customFormat="1" ht="14.5">
      <c r="A490" s="1826">
        <f t="shared" si="1"/>
        <v>481</v>
      </c>
      <c r="B490" s="1827"/>
      <c r="C490" s="1827"/>
      <c r="D490" s="1828"/>
      <c r="E490" s="1828"/>
      <c r="F490" s="1826"/>
      <c r="G490" s="1829"/>
      <c r="H490" s="1828"/>
      <c r="I490" s="1826"/>
      <c r="J490" s="1826"/>
      <c r="K490" s="1826"/>
      <c r="L490" s="1828"/>
      <c r="M490" s="1830"/>
    </row>
    <row r="491" spans="1:13" s="1342" customFormat="1" ht="14.5">
      <c r="A491" s="1826">
        <f t="shared" si="1"/>
        <v>482</v>
      </c>
      <c r="B491" s="1827"/>
      <c r="C491" s="1827"/>
      <c r="D491" s="1828"/>
      <c r="E491" s="1828"/>
      <c r="F491" s="1826"/>
      <c r="G491" s="1829"/>
      <c r="H491" s="1828"/>
      <c r="I491" s="1826"/>
      <c r="J491" s="1826"/>
      <c r="K491" s="1826"/>
      <c r="L491" s="1828"/>
      <c r="M491" s="1830"/>
    </row>
    <row r="492" spans="1:13" s="1342" customFormat="1" ht="14.5">
      <c r="A492" s="1826">
        <f t="shared" ref="A492:A508" si="2">A491+1</f>
        <v>483</v>
      </c>
      <c r="B492" s="1827"/>
      <c r="C492" s="1827"/>
      <c r="D492" s="1828"/>
      <c r="E492" s="1828"/>
      <c r="F492" s="1826"/>
      <c r="G492" s="1829"/>
      <c r="H492" s="1828"/>
      <c r="I492" s="1826"/>
      <c r="J492" s="1826"/>
      <c r="K492" s="1826"/>
      <c r="L492" s="1828"/>
      <c r="M492" s="1830"/>
    </row>
    <row r="493" spans="1:13" s="1342" customFormat="1" ht="14.5">
      <c r="A493" s="1826">
        <f t="shared" si="2"/>
        <v>484</v>
      </c>
      <c r="B493" s="1827"/>
      <c r="C493" s="1827"/>
      <c r="D493" s="1828"/>
      <c r="E493" s="1828"/>
      <c r="F493" s="1826"/>
      <c r="G493" s="1829"/>
      <c r="H493" s="1828"/>
      <c r="I493" s="1826"/>
      <c r="J493" s="1826"/>
      <c r="K493" s="1826"/>
      <c r="L493" s="1828"/>
      <c r="M493" s="1830"/>
    </row>
    <row r="494" spans="1:13" s="1342" customFormat="1" ht="14.5">
      <c r="A494" s="1826">
        <f t="shared" si="2"/>
        <v>485</v>
      </c>
      <c r="B494" s="1827"/>
      <c r="C494" s="1827"/>
      <c r="D494" s="1828"/>
      <c r="E494" s="1828"/>
      <c r="F494" s="1826"/>
      <c r="G494" s="1829"/>
      <c r="H494" s="1828"/>
      <c r="I494" s="1826"/>
      <c r="J494" s="1826"/>
      <c r="K494" s="1826"/>
      <c r="L494" s="1828"/>
      <c r="M494" s="1830"/>
    </row>
    <row r="495" spans="1:13" s="1342" customFormat="1" ht="14.5">
      <c r="A495" s="1826">
        <f t="shared" si="2"/>
        <v>486</v>
      </c>
      <c r="B495" s="1827"/>
      <c r="C495" s="1827"/>
      <c r="D495" s="1828"/>
      <c r="E495" s="1828"/>
      <c r="F495" s="1826"/>
      <c r="G495" s="1829"/>
      <c r="H495" s="1828"/>
      <c r="I495" s="1826"/>
      <c r="J495" s="1826"/>
      <c r="K495" s="1826"/>
      <c r="L495" s="1828"/>
      <c r="M495" s="1830"/>
    </row>
    <row r="496" spans="1:13" s="1342" customFormat="1" ht="14.5">
      <c r="A496" s="1826">
        <f t="shared" si="2"/>
        <v>487</v>
      </c>
      <c r="B496" s="1827"/>
      <c r="C496" s="1827"/>
      <c r="D496" s="1828"/>
      <c r="E496" s="1828"/>
      <c r="F496" s="1826"/>
      <c r="G496" s="1829"/>
      <c r="H496" s="1828"/>
      <c r="I496" s="1826"/>
      <c r="J496" s="1826"/>
      <c r="K496" s="1826"/>
      <c r="L496" s="1828"/>
      <c r="M496" s="1830"/>
    </row>
    <row r="497" spans="1:13" s="1342" customFormat="1" ht="14.5">
      <c r="A497" s="1826">
        <f t="shared" si="2"/>
        <v>488</v>
      </c>
      <c r="B497" s="1827"/>
      <c r="C497" s="1827"/>
      <c r="D497" s="1828"/>
      <c r="E497" s="1828"/>
      <c r="F497" s="1826"/>
      <c r="G497" s="1829"/>
      <c r="H497" s="1828"/>
      <c r="I497" s="1826"/>
      <c r="J497" s="1826"/>
      <c r="K497" s="1826"/>
      <c r="L497" s="1828"/>
      <c r="M497" s="1830"/>
    </row>
    <row r="498" spans="1:13" s="1342" customFormat="1" ht="14.5">
      <c r="A498" s="1826">
        <f t="shared" si="2"/>
        <v>489</v>
      </c>
      <c r="B498" s="1827"/>
      <c r="C498" s="1827"/>
      <c r="D498" s="1828"/>
      <c r="E498" s="1828"/>
      <c r="F498" s="1826"/>
      <c r="G498" s="1829"/>
      <c r="H498" s="1828"/>
      <c r="I498" s="1826"/>
      <c r="J498" s="1826"/>
      <c r="K498" s="1826"/>
      <c r="L498" s="1828"/>
      <c r="M498" s="1830"/>
    </row>
    <row r="499" spans="1:13" s="1342" customFormat="1" ht="14.5">
      <c r="A499" s="1826">
        <f t="shared" si="2"/>
        <v>490</v>
      </c>
      <c r="B499" s="1827"/>
      <c r="C499" s="1827"/>
      <c r="D499" s="1828"/>
      <c r="E499" s="1828"/>
      <c r="F499" s="1826"/>
      <c r="G499" s="1829"/>
      <c r="H499" s="1828"/>
      <c r="I499" s="1826"/>
      <c r="J499" s="1826"/>
      <c r="K499" s="1826"/>
      <c r="L499" s="1828"/>
      <c r="M499" s="1830"/>
    </row>
    <row r="500" spans="1:13" s="1342" customFormat="1" ht="14.5">
      <c r="A500" s="1826">
        <f t="shared" si="2"/>
        <v>491</v>
      </c>
      <c r="B500" s="1827"/>
      <c r="C500" s="1827"/>
      <c r="D500" s="1828"/>
      <c r="E500" s="1828"/>
      <c r="F500" s="1826"/>
      <c r="G500" s="1829"/>
      <c r="H500" s="1828"/>
      <c r="I500" s="1826"/>
      <c r="J500" s="1826"/>
      <c r="K500" s="1826"/>
      <c r="L500" s="1828"/>
      <c r="M500" s="1830"/>
    </row>
    <row r="501" spans="1:13" s="1342" customFormat="1" ht="14.5">
      <c r="A501" s="1826">
        <f t="shared" si="2"/>
        <v>492</v>
      </c>
      <c r="B501" s="1827"/>
      <c r="C501" s="1827"/>
      <c r="D501" s="1828"/>
      <c r="E501" s="1828"/>
      <c r="F501" s="1826"/>
      <c r="G501" s="1829"/>
      <c r="H501" s="1828"/>
      <c r="I501" s="1826"/>
      <c r="J501" s="1826"/>
      <c r="K501" s="1826"/>
      <c r="L501" s="1828"/>
      <c r="M501" s="1830"/>
    </row>
    <row r="502" spans="1:13" s="1342" customFormat="1" ht="14.5">
      <c r="A502" s="1826">
        <f t="shared" si="2"/>
        <v>493</v>
      </c>
      <c r="B502" s="1827"/>
      <c r="C502" s="1827"/>
      <c r="D502" s="1828"/>
      <c r="E502" s="1828"/>
      <c r="F502" s="1826"/>
      <c r="G502" s="1829"/>
      <c r="H502" s="1828"/>
      <c r="I502" s="1826"/>
      <c r="J502" s="1826"/>
      <c r="K502" s="1826"/>
      <c r="L502" s="1828"/>
      <c r="M502" s="1830"/>
    </row>
    <row r="503" spans="1:13" s="1342" customFormat="1" ht="14.5">
      <c r="A503" s="1826">
        <f t="shared" si="2"/>
        <v>494</v>
      </c>
      <c r="B503" s="1827"/>
      <c r="C503" s="1827"/>
      <c r="D503" s="1828"/>
      <c r="E503" s="1828"/>
      <c r="F503" s="1826"/>
      <c r="G503" s="1829"/>
      <c r="H503" s="1828"/>
      <c r="I503" s="1826"/>
      <c r="J503" s="1826"/>
      <c r="K503" s="1826"/>
      <c r="L503" s="1828"/>
      <c r="M503" s="1830"/>
    </row>
    <row r="504" spans="1:13" s="1342" customFormat="1" ht="14.5">
      <c r="A504" s="1826">
        <f t="shared" si="2"/>
        <v>495</v>
      </c>
      <c r="B504" s="1827"/>
      <c r="C504" s="1827"/>
      <c r="D504" s="1828"/>
      <c r="E504" s="1828"/>
      <c r="F504" s="1826"/>
      <c r="G504" s="1829"/>
      <c r="H504" s="1828"/>
      <c r="I504" s="1826"/>
      <c r="J504" s="1826"/>
      <c r="K504" s="1826"/>
      <c r="L504" s="1828"/>
      <c r="M504" s="1830"/>
    </row>
    <row r="505" spans="1:13" s="1342" customFormat="1" ht="14.5">
      <c r="A505" s="1826">
        <f t="shared" si="2"/>
        <v>496</v>
      </c>
      <c r="B505" s="1827"/>
      <c r="C505" s="1827"/>
      <c r="D505" s="1828"/>
      <c r="E505" s="1828"/>
      <c r="F505" s="1826"/>
      <c r="G505" s="1829"/>
      <c r="H505" s="1828"/>
      <c r="I505" s="1826"/>
      <c r="J505" s="1826"/>
      <c r="K505" s="1826"/>
      <c r="L505" s="1828"/>
      <c r="M505" s="1830"/>
    </row>
    <row r="506" spans="1:13" s="1342" customFormat="1" ht="14.5">
      <c r="A506" s="1826">
        <f t="shared" si="2"/>
        <v>497</v>
      </c>
      <c r="B506" s="1827"/>
      <c r="C506" s="1827"/>
      <c r="D506" s="1828"/>
      <c r="E506" s="1828"/>
      <c r="F506" s="1826"/>
      <c r="G506" s="1829"/>
      <c r="H506" s="1828"/>
      <c r="I506" s="1826"/>
      <c r="J506" s="1826"/>
      <c r="K506" s="1826"/>
      <c r="L506" s="1828"/>
      <c r="M506" s="1830"/>
    </row>
    <row r="507" spans="1:13" s="1342" customFormat="1" ht="14.5">
      <c r="A507" s="1826">
        <f t="shared" si="2"/>
        <v>498</v>
      </c>
      <c r="B507" s="1827"/>
      <c r="C507" s="1827"/>
      <c r="D507" s="1828"/>
      <c r="E507" s="1828"/>
      <c r="F507" s="1826"/>
      <c r="G507" s="1829"/>
      <c r="H507" s="1828"/>
      <c r="I507" s="1826"/>
      <c r="J507" s="1826"/>
      <c r="K507" s="1826"/>
      <c r="L507" s="1828"/>
      <c r="M507" s="1830"/>
    </row>
    <row r="508" spans="1:13" s="1342" customFormat="1" ht="14.5">
      <c r="A508" s="1826">
        <f t="shared" si="2"/>
        <v>499</v>
      </c>
      <c r="B508" s="1827"/>
      <c r="C508" s="1827"/>
      <c r="D508" s="1828"/>
      <c r="E508" s="1828"/>
      <c r="F508" s="1826"/>
      <c r="G508" s="1829"/>
      <c r="H508" s="1828"/>
      <c r="I508" s="1826"/>
      <c r="J508" s="1826"/>
      <c r="K508" s="1826"/>
      <c r="L508" s="1828"/>
      <c r="M508" s="1830"/>
    </row>
    <row r="509" spans="1:13" s="1342" customFormat="1" ht="14.5">
      <c r="B509" s="1488"/>
      <c r="D509" s="1533"/>
      <c r="E509" s="1533"/>
      <c r="F509" s="1534"/>
      <c r="G509" s="1534"/>
      <c r="H509" s="1534"/>
      <c r="I509" s="1534"/>
      <c r="J509" s="1534"/>
      <c r="K509" s="1534"/>
      <c r="L509" s="1533"/>
      <c r="M509" s="2366"/>
    </row>
    <row r="510" spans="1:13" s="1342" customFormat="1" ht="14.5">
      <c r="B510" s="1488"/>
      <c r="D510" s="1533"/>
      <c r="E510" s="1533"/>
      <c r="F510" s="1534"/>
      <c r="G510" s="1534"/>
      <c r="H510" s="1534"/>
      <c r="I510" s="1534"/>
      <c r="J510" s="1534"/>
      <c r="K510" s="1534"/>
      <c r="L510" s="1533"/>
    </row>
    <row r="511" spans="1:13" s="1342" customFormat="1" ht="14.5">
      <c r="B511" s="1488"/>
      <c r="D511" s="1533"/>
      <c r="E511" s="1533"/>
      <c r="F511" s="1534"/>
      <c r="G511" s="1534"/>
      <c r="H511" s="1534"/>
      <c r="I511" s="1534"/>
      <c r="J511" s="1534"/>
      <c r="K511" s="1534"/>
      <c r="L511" s="1533"/>
    </row>
    <row r="512" spans="1:13"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 r="A3" s="1535"/>
      <c r="B3" s="1488" t="s">
        <v>5086</v>
      </c>
      <c r="D3" s="1536" t="s">
        <v>4878</v>
      </c>
      <c r="E3" s="2475" t="s">
        <v>4879</v>
      </c>
      <c r="F3" s="2476"/>
      <c r="G3" s="1534"/>
      <c r="H3" s="1534"/>
      <c r="I3" s="1534"/>
      <c r="J3" s="1534"/>
      <c r="K3" s="1534"/>
      <c r="L3" s="1533"/>
    </row>
    <row r="4" spans="1:107" s="1342" customFormat="1" ht="14.5">
      <c r="A4" s="1537"/>
      <c r="B4" s="1488" t="s">
        <v>5087</v>
      </c>
      <c r="D4" s="1536"/>
      <c r="E4" s="1536"/>
      <c r="F4" s="1534"/>
      <c r="G4" s="1534"/>
      <c r="H4" s="1534"/>
      <c r="I4" s="1534"/>
      <c r="J4" s="1534"/>
      <c r="K4" s="1534"/>
      <c r="L4" s="1533"/>
    </row>
    <row r="5" spans="1:107" s="1342" customFormat="1" ht="14.5">
      <c r="A5" s="1538"/>
      <c r="B5" s="1488" t="s">
        <v>5088</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5610</v>
      </c>
      <c r="D7" s="1533"/>
      <c r="E7" s="1533"/>
      <c r="F7" s="1534"/>
      <c r="G7" s="1534"/>
      <c r="H7" s="1534"/>
      <c r="I7" s="1534"/>
      <c r="J7" s="1534"/>
      <c r="K7" s="1534"/>
      <c r="L7" s="1533"/>
    </row>
    <row r="8" spans="1:107" s="1342" customFormat="1" ht="14.5">
      <c r="A8" s="2206"/>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8">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8">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9">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9">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8">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8">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8">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8">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8">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8">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8">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8">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8">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8">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8">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8">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8">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8">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8">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8">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8">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8">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8">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9">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8">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8">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8">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8">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8">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8">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8">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8">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8">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8">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8">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8">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8">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8">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9">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8">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9">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9">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9">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9">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9">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29">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29">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29">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29">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29">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29">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29">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29">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29">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29">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9">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9">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9">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9">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9">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9">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9">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9">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9">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9">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9">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9">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9">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9">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9">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9">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9">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9">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9">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9">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9">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9">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9">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9">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9">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9">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9">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9">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29">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29">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29">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29">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29">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29">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29">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29">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29">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29">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9">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9">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9">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9">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9">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9">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9">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9">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9">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9">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9">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9">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9">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9">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9">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9">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9">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9">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9">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9">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9">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9">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9">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9">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9">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9">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9">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9">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9">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9">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8">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8">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9">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9">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9">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9">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9">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9">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9">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9">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29">
      <c r="A451" s="2383">
        <f t="shared" si="0"/>
        <v>442</v>
      </c>
      <c r="B451" s="2384" t="s">
        <v>662</v>
      </c>
      <c r="C451" s="2385" t="s">
        <v>2091</v>
      </c>
      <c r="D451" s="2384" t="s">
        <v>113</v>
      </c>
      <c r="E451" s="2384" t="s">
        <v>662</v>
      </c>
      <c r="F451" s="2383" t="s">
        <v>5089</v>
      </c>
      <c r="G451" s="2386">
        <v>115</v>
      </c>
      <c r="H451" s="2389" t="s">
        <v>1920</v>
      </c>
      <c r="I451" s="2383" t="s">
        <v>573</v>
      </c>
      <c r="J451" s="2387">
        <v>-0.36499999999999999</v>
      </c>
      <c r="K451" s="2383">
        <v>-0.7</v>
      </c>
      <c r="L451" s="2384" t="s">
        <v>5613</v>
      </c>
      <c r="M451" s="2388">
        <v>45190</v>
      </c>
    </row>
    <row r="452" spans="1:13" s="1342" customFormat="1" ht="29">
      <c r="A452" s="2383">
        <f t="shared" si="0"/>
        <v>443</v>
      </c>
      <c r="B452" s="2384" t="s">
        <v>662</v>
      </c>
      <c r="C452" s="2385" t="s">
        <v>2091</v>
      </c>
      <c r="D452" s="2384" t="s">
        <v>113</v>
      </c>
      <c r="E452" s="2384" t="s">
        <v>662</v>
      </c>
      <c r="F452" s="2383" t="s">
        <v>5089</v>
      </c>
      <c r="G452" s="2386">
        <v>115</v>
      </c>
      <c r="H452" s="2389" t="s">
        <v>1921</v>
      </c>
      <c r="I452" s="2383" t="s">
        <v>573</v>
      </c>
      <c r="J452" s="2387">
        <v>-0.7</v>
      </c>
      <c r="K452" s="2383">
        <v>-0.36499999999999999</v>
      </c>
      <c r="L452" s="2384" t="s">
        <v>5613</v>
      </c>
      <c r="M452" s="2388">
        <v>45190</v>
      </c>
    </row>
    <row r="453" spans="1:13" s="1342" customFormat="1" ht="29">
      <c r="A453" s="2383">
        <f t="shared" si="0"/>
        <v>444</v>
      </c>
      <c r="B453" s="2384" t="s">
        <v>704</v>
      </c>
      <c r="C453" s="2385" t="s">
        <v>4664</v>
      </c>
      <c r="D453" s="2384" t="s">
        <v>113</v>
      </c>
      <c r="E453" s="2384" t="s">
        <v>704</v>
      </c>
      <c r="F453" s="2383" t="s">
        <v>5089</v>
      </c>
      <c r="G453" s="2386">
        <v>115</v>
      </c>
      <c r="H453" s="2389" t="s">
        <v>1920</v>
      </c>
      <c r="I453" s="2383" t="s">
        <v>573</v>
      </c>
      <c r="J453" s="2387">
        <v>-0.16700000000000001</v>
      </c>
      <c r="K453" s="2383">
        <v>-0.253</v>
      </c>
      <c r="L453" s="2384" t="s">
        <v>5614</v>
      </c>
      <c r="M453" s="2388">
        <v>45190</v>
      </c>
    </row>
    <row r="454" spans="1:13" s="1342" customFormat="1" ht="29">
      <c r="A454" s="2383">
        <f t="shared" si="0"/>
        <v>445</v>
      </c>
      <c r="B454" s="2384" t="s">
        <v>704</v>
      </c>
      <c r="C454" s="2385" t="s">
        <v>4664</v>
      </c>
      <c r="D454" s="2384" t="s">
        <v>113</v>
      </c>
      <c r="E454" s="2384" t="s">
        <v>704</v>
      </c>
      <c r="F454" s="2383" t="s">
        <v>5089</v>
      </c>
      <c r="G454" s="2386">
        <v>115</v>
      </c>
      <c r="H454" s="2389" t="s">
        <v>1921</v>
      </c>
      <c r="I454" s="2383" t="s">
        <v>573</v>
      </c>
      <c r="J454" s="2387">
        <v>-0.253</v>
      </c>
      <c r="K454" s="2383">
        <v>-0.16700000000000001</v>
      </c>
      <c r="L454" s="2384" t="s">
        <v>5614</v>
      </c>
      <c r="M454" s="2388">
        <v>45190</v>
      </c>
    </row>
    <row r="455" spans="1:13" s="1342" customFormat="1" ht="14.5">
      <c r="A455" s="1826">
        <f t="shared" si="0"/>
        <v>446</v>
      </c>
      <c r="B455" s="1828"/>
      <c r="C455" s="1827"/>
      <c r="D455" s="1828"/>
      <c r="E455" s="1828"/>
      <c r="F455" s="1826"/>
      <c r="G455" s="1829"/>
      <c r="H455" s="1826"/>
      <c r="I455" s="1826"/>
      <c r="J455" s="1831"/>
      <c r="K455" s="1826"/>
      <c r="L455" s="1828"/>
      <c r="M455" s="1832"/>
    </row>
    <row r="456" spans="1:13" s="1342" customFormat="1" ht="14.5">
      <c r="A456" s="1826">
        <f t="shared" si="0"/>
        <v>447</v>
      </c>
      <c r="B456" s="1828"/>
      <c r="C456" s="1827"/>
      <c r="D456" s="1828"/>
      <c r="E456" s="1828"/>
      <c r="F456" s="1826"/>
      <c r="G456" s="1829"/>
      <c r="H456" s="1826"/>
      <c r="I456" s="1826"/>
      <c r="J456" s="1831"/>
      <c r="K456" s="1826"/>
      <c r="L456" s="1828"/>
      <c r="M456" s="1832"/>
    </row>
    <row r="457" spans="1:13" s="1342" customFormat="1" ht="14.5">
      <c r="A457" s="1826">
        <f t="shared" si="0"/>
        <v>448</v>
      </c>
      <c r="B457" s="1828"/>
      <c r="C457" s="1827"/>
      <c r="D457" s="1828"/>
      <c r="E457" s="1828"/>
      <c r="F457" s="1826"/>
      <c r="G457" s="1829"/>
      <c r="H457" s="1826"/>
      <c r="I457" s="1826"/>
      <c r="J457" s="1831"/>
      <c r="K457" s="1826"/>
      <c r="L457" s="1828"/>
      <c r="M457" s="1832"/>
    </row>
    <row r="458" spans="1:13" s="1342" customFormat="1" ht="14.5">
      <c r="A458" s="1826">
        <f t="shared" si="0"/>
        <v>449</v>
      </c>
      <c r="B458" s="1828"/>
      <c r="C458" s="1827"/>
      <c r="D458" s="1828"/>
      <c r="E458" s="1828"/>
      <c r="F458" s="1826"/>
      <c r="G458" s="1829"/>
      <c r="H458" s="1826"/>
      <c r="I458" s="1826"/>
      <c r="J458" s="1831"/>
      <c r="K458" s="1826"/>
      <c r="L458" s="1828"/>
      <c r="M458" s="1832"/>
    </row>
    <row r="459" spans="1:13" s="1342" customFormat="1" ht="14.5">
      <c r="A459" s="1826">
        <f t="shared" ref="A459" si="1">A458+1</f>
        <v>450</v>
      </c>
      <c r="B459" s="1828"/>
      <c r="C459" s="1827"/>
      <c r="D459" s="1828"/>
      <c r="E459" s="1828"/>
      <c r="F459" s="1826"/>
      <c r="G459" s="1829"/>
      <c r="H459" s="1826"/>
      <c r="I459" s="1826"/>
      <c r="J459" s="1831"/>
      <c r="K459" s="1826"/>
      <c r="L459" s="1828"/>
      <c r="M459" s="1832"/>
    </row>
    <row r="460" spans="1:13" s="1342" customFormat="1" ht="14.5">
      <c r="B460" s="1488"/>
      <c r="D460" s="1533"/>
      <c r="E460" s="1533"/>
      <c r="F460" s="1534"/>
      <c r="G460" s="1534"/>
      <c r="H460" s="1534"/>
      <c r="I460" s="1534"/>
      <c r="J460" s="1534"/>
      <c r="K460" s="1534"/>
      <c r="L460" s="1533"/>
    </row>
    <row r="461" spans="1:13" s="1342" customFormat="1" ht="14.5">
      <c r="B461" s="1488"/>
      <c r="D461" s="1533"/>
      <c r="E461" s="1533"/>
      <c r="F461" s="1534"/>
      <c r="G461" s="1534"/>
      <c r="H461" s="1534"/>
      <c r="I461" s="1534"/>
      <c r="J461" s="1534"/>
      <c r="K461" s="1534"/>
      <c r="L461" s="1533"/>
    </row>
    <row r="462" spans="1:13" s="1342" customFormat="1" ht="14.5">
      <c r="B462" s="1488"/>
      <c r="D462" s="1533"/>
      <c r="E462" s="1533"/>
      <c r="F462" s="1534"/>
      <c r="G462" s="1534"/>
      <c r="H462" s="1534"/>
      <c r="I462" s="1534"/>
      <c r="J462" s="1534"/>
      <c r="K462" s="1534"/>
      <c r="L462" s="1533"/>
    </row>
    <row r="463" spans="1:13" s="1342" customFormat="1" ht="14.5">
      <c r="B463" s="1488"/>
      <c r="D463" s="1533"/>
      <c r="E463" s="1533"/>
      <c r="F463" s="1534"/>
      <c r="G463" s="1534"/>
      <c r="H463" s="1534"/>
      <c r="I463" s="1534"/>
      <c r="J463" s="1534"/>
      <c r="K463" s="1534"/>
      <c r="L463" s="1533"/>
    </row>
    <row r="464" spans="1:13" s="1342" customFormat="1" ht="14.5">
      <c r="B464" s="1488"/>
      <c r="D464" s="1533"/>
      <c r="E464" s="1533"/>
      <c r="F464" s="1534"/>
      <c r="G464" s="1534"/>
      <c r="H464" s="1534"/>
      <c r="I464" s="1534"/>
      <c r="J464" s="1534"/>
      <c r="K464" s="1534"/>
      <c r="L464" s="1533"/>
    </row>
    <row r="465" spans="2:12" s="1342" customFormat="1" ht="14.5">
      <c r="B465" s="1488"/>
      <c r="D465" s="1533"/>
      <c r="E465" s="1533"/>
      <c r="F465" s="1534"/>
      <c r="G465" s="1534"/>
      <c r="H465" s="1534"/>
      <c r="I465" s="1534"/>
      <c r="J465" s="1534"/>
      <c r="K465" s="1534"/>
      <c r="L465" s="1533"/>
    </row>
    <row r="466" spans="2:12" s="1342" customFormat="1" ht="14.5">
      <c r="B466" s="1488"/>
      <c r="D466" s="1533"/>
      <c r="E466" s="1533"/>
      <c r="F466" s="1534"/>
      <c r="G466" s="1534"/>
      <c r="H466" s="1534"/>
      <c r="I466" s="1534"/>
      <c r="J466" s="1534"/>
      <c r="K466" s="1534"/>
      <c r="L466" s="1533"/>
    </row>
    <row r="467" spans="2:12" s="1342" customFormat="1" ht="14.5">
      <c r="B467" s="1488"/>
      <c r="D467" s="1533"/>
      <c r="E467" s="1533"/>
      <c r="F467" s="1534"/>
      <c r="G467" s="1534"/>
      <c r="H467" s="1534"/>
      <c r="I467" s="1534"/>
      <c r="J467" s="1534"/>
      <c r="K467" s="1534"/>
      <c r="L467" s="1533"/>
    </row>
    <row r="468" spans="2:12" s="1342" customFormat="1" ht="14.5">
      <c r="B468" s="1488"/>
      <c r="D468" s="1533"/>
      <c r="E468" s="1533"/>
      <c r="F468" s="1534"/>
      <c r="G468" s="1534"/>
      <c r="H468" s="1534"/>
      <c r="I468" s="1534"/>
      <c r="J468" s="1534"/>
      <c r="K468" s="1534"/>
      <c r="L468" s="1533"/>
    </row>
    <row r="469" spans="2:12" s="1342" customFormat="1" ht="14.5">
      <c r="B469" s="1488"/>
      <c r="D469" s="1533"/>
      <c r="E469" s="1533"/>
      <c r="F469" s="1534"/>
      <c r="G469" s="1534"/>
      <c r="H469" s="1534"/>
      <c r="I469" s="1534"/>
      <c r="J469" s="1534"/>
      <c r="K469" s="1534"/>
      <c r="L469" s="1533"/>
    </row>
    <row r="470" spans="2:12" s="1342" customFormat="1" ht="14.5">
      <c r="B470" s="1488"/>
      <c r="D470" s="1533"/>
      <c r="E470" s="1533"/>
      <c r="F470" s="1534"/>
      <c r="G470" s="1534"/>
      <c r="H470" s="1534"/>
      <c r="I470" s="1534"/>
      <c r="J470" s="1534"/>
      <c r="K470" s="1534"/>
      <c r="L470" s="1533"/>
    </row>
    <row r="471" spans="2:12" s="1342" customFormat="1" ht="14.5">
      <c r="B471" s="1488"/>
      <c r="D471" s="1533"/>
      <c r="E471" s="1533"/>
      <c r="F471" s="1534"/>
      <c r="G471" s="1534"/>
      <c r="H471" s="1534"/>
      <c r="I471" s="1534"/>
      <c r="J471" s="1534"/>
      <c r="K471" s="1534"/>
      <c r="L471" s="1533"/>
    </row>
    <row r="472" spans="2:12" s="1342" customFormat="1" ht="14.5">
      <c r="B472" s="1488"/>
      <c r="D472" s="1533"/>
      <c r="E472" s="1533"/>
      <c r="F472" s="1534"/>
      <c r="G472" s="1534"/>
      <c r="H472" s="1534"/>
      <c r="I472" s="1534"/>
      <c r="J472" s="1534"/>
      <c r="K472" s="1534"/>
      <c r="L472" s="1533"/>
    </row>
    <row r="473" spans="2:12" s="1342" customFormat="1" ht="14.5">
      <c r="B473" s="1488"/>
      <c r="D473" s="1533"/>
      <c r="E473" s="1533"/>
      <c r="F473" s="1534"/>
      <c r="G473" s="1534"/>
      <c r="H473" s="1534"/>
      <c r="I473" s="1534"/>
      <c r="J473" s="1534"/>
      <c r="K473" s="1534"/>
      <c r="L473" s="1533"/>
    </row>
    <row r="474" spans="2:12" s="1342" customFormat="1" ht="14.5">
      <c r="B474" s="1488"/>
      <c r="D474" s="1533"/>
      <c r="E474" s="1533"/>
      <c r="F474" s="1534"/>
      <c r="G474" s="1534"/>
      <c r="H474" s="1534"/>
      <c r="I474" s="1534"/>
      <c r="J474" s="1534"/>
      <c r="K474" s="1534"/>
      <c r="L474" s="1533"/>
    </row>
    <row r="475" spans="2:12" s="1342" customFormat="1" ht="14.5">
      <c r="B475" s="1488"/>
      <c r="D475" s="1533"/>
      <c r="E475" s="1533"/>
      <c r="F475" s="1534"/>
      <c r="G475" s="1534"/>
      <c r="H475" s="1534"/>
      <c r="I475" s="1534"/>
      <c r="J475" s="1534"/>
      <c r="K475" s="1534"/>
      <c r="L475" s="1533"/>
    </row>
    <row r="476" spans="2:12" s="1342" customFormat="1" ht="14.5">
      <c r="B476" s="1488"/>
      <c r="D476" s="1533"/>
      <c r="E476" s="1533"/>
      <c r="F476" s="1534"/>
      <c r="G476" s="1534"/>
      <c r="H476" s="1534"/>
      <c r="I476" s="1534"/>
      <c r="J476" s="1534"/>
      <c r="K476" s="1534"/>
      <c r="L476" s="1533"/>
    </row>
    <row r="477" spans="2:12" s="1342" customFormat="1" ht="14.5">
      <c r="B477" s="1488"/>
      <c r="D477" s="1533"/>
      <c r="E477" s="1533"/>
      <c r="F477" s="1534"/>
      <c r="G477" s="1534"/>
      <c r="H477" s="1534"/>
      <c r="I477" s="1534"/>
      <c r="J477" s="1534"/>
      <c r="K477" s="1534"/>
      <c r="L477" s="1533"/>
    </row>
    <row r="478" spans="2:12" s="1342" customFormat="1" ht="14.5">
      <c r="B478" s="1488"/>
      <c r="D478" s="1533"/>
      <c r="E478" s="1533"/>
      <c r="F478" s="1534"/>
      <c r="G478" s="1534"/>
      <c r="H478" s="1534"/>
      <c r="I478" s="1534"/>
      <c r="J478" s="1534"/>
      <c r="K478" s="1534"/>
      <c r="L478" s="1533"/>
    </row>
    <row r="479" spans="2:12" s="1342" customFormat="1" ht="14.5">
      <c r="B479" s="1488"/>
      <c r="D479" s="1533"/>
      <c r="E479" s="1533"/>
      <c r="F479" s="1534"/>
      <c r="G479" s="1534"/>
      <c r="H479" s="1534"/>
      <c r="I479" s="1534"/>
      <c r="J479" s="1534"/>
      <c r="K479" s="1534"/>
      <c r="L479" s="1533"/>
    </row>
    <row r="480" spans="2:12" s="1342" customFormat="1" ht="14.5">
      <c r="B480" s="1488"/>
      <c r="D480" s="1533"/>
      <c r="E480" s="1533"/>
      <c r="F480" s="1534"/>
      <c r="G480" s="1534"/>
      <c r="H480" s="1534"/>
      <c r="I480" s="1534"/>
      <c r="J480" s="1534"/>
      <c r="K480" s="1534"/>
      <c r="L480" s="1533"/>
    </row>
    <row r="481" spans="2:12" s="1342" customFormat="1" ht="14.5">
      <c r="B481" s="1488"/>
      <c r="D481" s="1533"/>
      <c r="E481" s="1533"/>
      <c r="F481" s="1534"/>
      <c r="G481" s="1534"/>
      <c r="H481" s="1534"/>
      <c r="I481" s="1534"/>
      <c r="J481" s="1534"/>
      <c r="K481" s="1534"/>
      <c r="L481" s="1533"/>
    </row>
    <row r="482" spans="2:12" s="1342" customFormat="1" ht="14.5">
      <c r="B482" s="1488"/>
      <c r="D482" s="1533"/>
      <c r="E482" s="1533"/>
      <c r="F482" s="1534"/>
      <c r="G482" s="1534"/>
      <c r="H482" s="1534"/>
      <c r="I482" s="1534"/>
      <c r="J482" s="1534"/>
      <c r="K482" s="1534"/>
      <c r="L482" s="1533"/>
    </row>
    <row r="483" spans="2:12" s="1342" customFormat="1" ht="14.5">
      <c r="B483" s="1488"/>
      <c r="D483" s="1533"/>
      <c r="E483" s="1533"/>
      <c r="F483" s="1534"/>
      <c r="G483" s="1534"/>
      <c r="H483" s="1534"/>
      <c r="I483" s="1534"/>
      <c r="J483" s="1534"/>
      <c r="K483" s="1534"/>
      <c r="L483" s="1533"/>
    </row>
    <row r="484" spans="2:12" s="1342" customFormat="1" ht="14.5">
      <c r="B484" s="1488"/>
      <c r="D484" s="1533"/>
      <c r="E484" s="1533"/>
      <c r="F484" s="1534"/>
      <c r="G484" s="1534"/>
      <c r="H484" s="1534"/>
      <c r="I484" s="1534"/>
      <c r="J484" s="1534"/>
      <c r="K484" s="1534"/>
      <c r="L484" s="1533"/>
    </row>
    <row r="485" spans="2:12" s="1342" customFormat="1" ht="14.5">
      <c r="B485" s="1488"/>
      <c r="D485" s="1533"/>
      <c r="E485" s="1533"/>
      <c r="F485" s="1534"/>
      <c r="G485" s="1534"/>
      <c r="H485" s="1534"/>
      <c r="I485" s="1534"/>
      <c r="J485" s="1534"/>
      <c r="K485" s="1534"/>
      <c r="L485" s="1533"/>
    </row>
    <row r="486" spans="2:12" s="1342" customFormat="1" ht="14.5">
      <c r="B486" s="1488"/>
      <c r="D486" s="1533"/>
      <c r="E486" s="1533"/>
      <c r="F486" s="1534"/>
      <c r="G486" s="1534"/>
      <c r="H486" s="1534"/>
      <c r="I486" s="1534"/>
      <c r="J486" s="1534"/>
      <c r="K486" s="1534"/>
      <c r="L486" s="1533"/>
    </row>
    <row r="487" spans="2:12" s="1342" customFormat="1" ht="14.5">
      <c r="B487" s="1488"/>
      <c r="D487" s="1533"/>
      <c r="E487" s="1533"/>
      <c r="F487" s="1534"/>
      <c r="G487" s="1534"/>
      <c r="H487" s="1534"/>
      <c r="I487" s="1534"/>
      <c r="J487" s="1534"/>
      <c r="K487" s="1534"/>
      <c r="L487" s="1533"/>
    </row>
    <row r="488" spans="2:12" s="1342" customFormat="1" ht="14.5">
      <c r="B488" s="1488"/>
      <c r="D488" s="1533"/>
      <c r="E488" s="1533"/>
      <c r="F488" s="1534"/>
      <c r="G488" s="1534"/>
      <c r="H488" s="1534"/>
      <c r="I488" s="1534"/>
      <c r="J488" s="1534"/>
      <c r="K488" s="1534"/>
      <c r="L488" s="1533"/>
    </row>
    <row r="489" spans="2:12" s="1342" customFormat="1" ht="14.5">
      <c r="B489" s="1488"/>
      <c r="D489" s="1533"/>
      <c r="E489" s="1533"/>
      <c r="F489" s="1534"/>
      <c r="G489" s="1534"/>
      <c r="H489" s="1534"/>
      <c r="I489" s="1534"/>
      <c r="J489" s="1534"/>
      <c r="K489" s="1534"/>
      <c r="L489" s="1533"/>
    </row>
    <row r="490" spans="2:12" s="1342" customFormat="1" ht="14.5">
      <c r="B490" s="1488"/>
      <c r="D490" s="1533"/>
      <c r="E490" s="1533"/>
      <c r="F490" s="1534"/>
      <c r="G490" s="1534"/>
      <c r="H490" s="1534"/>
      <c r="I490" s="1534"/>
      <c r="J490" s="1534"/>
      <c r="K490" s="1534"/>
      <c r="L490" s="1533"/>
    </row>
    <row r="491" spans="2:12" s="1342" customFormat="1" ht="14.5">
      <c r="B491" s="1488"/>
      <c r="D491" s="1533"/>
      <c r="E491" s="1533"/>
      <c r="F491" s="1534"/>
      <c r="G491" s="1534"/>
      <c r="H491" s="1534"/>
      <c r="I491" s="1534"/>
      <c r="J491" s="1534"/>
      <c r="K491" s="1534"/>
      <c r="L491" s="1533"/>
    </row>
    <row r="492" spans="2:12" s="1342" customFormat="1" ht="14.5">
      <c r="B492" s="1488"/>
      <c r="D492" s="1533"/>
      <c r="E492" s="1533"/>
      <c r="F492" s="1534"/>
      <c r="G492" s="1534"/>
      <c r="H492" s="1534"/>
      <c r="I492" s="1534"/>
      <c r="J492" s="1534"/>
      <c r="K492" s="1534"/>
      <c r="L492" s="1533"/>
    </row>
    <row r="493" spans="2:12" s="1342" customFormat="1" ht="14.5">
      <c r="B493" s="1488"/>
      <c r="D493" s="1533"/>
      <c r="E493" s="1533"/>
      <c r="F493" s="1534"/>
      <c r="G493" s="1534"/>
      <c r="H493" s="1534"/>
      <c r="I493" s="1534"/>
      <c r="J493" s="1534"/>
      <c r="K493" s="1534"/>
      <c r="L493" s="1533"/>
    </row>
    <row r="494" spans="2:12" s="1342" customFormat="1" ht="14.5">
      <c r="B494" s="1488"/>
      <c r="D494" s="1533"/>
      <c r="E494" s="1533"/>
      <c r="F494" s="1534"/>
      <c r="G494" s="1534"/>
      <c r="H494" s="1534"/>
      <c r="I494" s="1534"/>
      <c r="J494" s="1534"/>
      <c r="K494" s="1534"/>
      <c r="L494" s="1533"/>
    </row>
    <row r="495" spans="2:12" s="1342" customFormat="1" ht="14.5">
      <c r="B495" s="1488"/>
      <c r="D495" s="1533"/>
      <c r="E495" s="1533"/>
      <c r="F495" s="1534"/>
      <c r="G495" s="1534"/>
      <c r="H495" s="1534"/>
      <c r="I495" s="1534"/>
      <c r="J495" s="1534"/>
      <c r="K495" s="1534"/>
      <c r="L495" s="1533"/>
    </row>
    <row r="496" spans="2:12" s="1342" customFormat="1" ht="14.5">
      <c r="B496" s="1488"/>
      <c r="D496" s="1533"/>
      <c r="E496" s="1533"/>
      <c r="F496" s="1534"/>
      <c r="G496" s="1534"/>
      <c r="H496" s="1534"/>
      <c r="I496" s="1534"/>
      <c r="J496" s="1534"/>
      <c r="K496" s="1534"/>
      <c r="L496" s="1533"/>
    </row>
    <row r="497" spans="2:12" s="1342" customFormat="1" ht="14.5">
      <c r="B497" s="1488"/>
      <c r="D497" s="1533"/>
      <c r="E497" s="1533"/>
      <c r="F497" s="1534"/>
      <c r="G497" s="1534"/>
      <c r="H497" s="1534"/>
      <c r="I497" s="1534"/>
      <c r="J497" s="1534"/>
      <c r="K497" s="1534"/>
      <c r="L497" s="1533"/>
    </row>
    <row r="498" spans="2:12" s="1342" customFormat="1" ht="14.5">
      <c r="B498" s="1488"/>
      <c r="D498" s="1533"/>
      <c r="E498" s="1533"/>
      <c r="F498" s="1534"/>
      <c r="G498" s="1534"/>
      <c r="H498" s="1534"/>
      <c r="I498" s="1534"/>
      <c r="J498" s="1534"/>
      <c r="K498" s="1534"/>
      <c r="L498" s="1533"/>
    </row>
    <row r="499" spans="2:12" s="1342" customFormat="1" ht="14.5">
      <c r="B499" s="1488"/>
      <c r="D499" s="1533"/>
      <c r="E499" s="1533"/>
      <c r="F499" s="1534"/>
      <c r="G499" s="1534"/>
      <c r="H499" s="1534"/>
      <c r="I499" s="1534"/>
      <c r="J499" s="1534"/>
      <c r="K499" s="1534"/>
      <c r="L499" s="1533"/>
    </row>
    <row r="500" spans="2:12" s="1342" customFormat="1" ht="14.5">
      <c r="B500" s="1488"/>
      <c r="D500" s="1533"/>
      <c r="E500" s="1533"/>
      <c r="F500" s="1534"/>
      <c r="G500" s="1534"/>
      <c r="H500" s="1534"/>
      <c r="I500" s="1534"/>
      <c r="J500" s="1534"/>
      <c r="K500" s="1534"/>
      <c r="L500" s="1533"/>
    </row>
    <row r="501" spans="2:12" s="1342" customFormat="1" ht="14.5">
      <c r="B501" s="1488"/>
      <c r="D501" s="1533"/>
      <c r="E501" s="1533"/>
      <c r="F501" s="1534"/>
      <c r="G501" s="1534"/>
      <c r="H501" s="1534"/>
      <c r="I501" s="1534"/>
      <c r="J501" s="1534"/>
      <c r="K501" s="1534"/>
      <c r="L501" s="1533"/>
    </row>
    <row r="502" spans="2:12" s="1342" customFormat="1" ht="14.5">
      <c r="B502" s="1488"/>
      <c r="D502" s="1533"/>
      <c r="E502" s="1533"/>
      <c r="F502" s="1534"/>
      <c r="G502" s="1534"/>
      <c r="H502" s="1534"/>
      <c r="I502" s="1534"/>
      <c r="J502" s="1534"/>
      <c r="K502" s="1534"/>
      <c r="L502" s="1533"/>
    </row>
    <row r="503" spans="2:12" s="1342" customFormat="1" ht="14.5">
      <c r="B503" s="1488"/>
      <c r="D503" s="1533"/>
      <c r="E503" s="1533"/>
      <c r="F503" s="1534"/>
      <c r="G503" s="1534"/>
      <c r="H503" s="1534"/>
      <c r="I503" s="1534"/>
      <c r="J503" s="1534"/>
      <c r="K503" s="1534"/>
      <c r="L503" s="1533"/>
    </row>
    <row r="504" spans="2:12" s="1342" customFormat="1" ht="14.5">
      <c r="B504" s="1488"/>
      <c r="D504" s="1533"/>
      <c r="E504" s="1533"/>
      <c r="F504" s="1534"/>
      <c r="G504" s="1534"/>
      <c r="H504" s="1534"/>
      <c r="I504" s="1534"/>
      <c r="J504" s="1534"/>
      <c r="K504" s="1534"/>
      <c r="L504" s="1533"/>
    </row>
    <row r="505" spans="2:12" s="1342" customFormat="1" ht="14.5">
      <c r="B505" s="1488"/>
      <c r="D505" s="1533"/>
      <c r="E505" s="1533"/>
      <c r="F505" s="1534"/>
      <c r="G505" s="1534"/>
      <c r="H505" s="1534"/>
      <c r="I505" s="1534"/>
      <c r="J505" s="1534"/>
      <c r="K505" s="1534"/>
      <c r="L505" s="1533"/>
    </row>
    <row r="506" spans="2:12" s="1342" customFormat="1" ht="14.5">
      <c r="B506" s="1488"/>
      <c r="D506" s="1533"/>
      <c r="E506" s="1533"/>
      <c r="F506" s="1534"/>
      <c r="G506" s="1534"/>
      <c r="H506" s="1534"/>
      <c r="I506" s="1534"/>
      <c r="J506" s="1534"/>
      <c r="K506" s="1534"/>
      <c r="L506" s="1533"/>
    </row>
    <row r="507" spans="2:12" s="1342" customFormat="1" ht="14.5">
      <c r="B507" s="1488"/>
      <c r="D507" s="1533"/>
      <c r="E507" s="1533"/>
      <c r="F507" s="1534"/>
      <c r="G507" s="1534"/>
      <c r="H507" s="1534"/>
      <c r="I507" s="1534"/>
      <c r="J507" s="1534"/>
      <c r="K507" s="1534"/>
      <c r="L507" s="1533"/>
    </row>
    <row r="508" spans="2:12" s="1342" customFormat="1" ht="14.5">
      <c r="B508" s="1488"/>
      <c r="D508" s="1533"/>
      <c r="E508" s="1533"/>
      <c r="F508" s="1534"/>
      <c r="G508" s="1534"/>
      <c r="H508" s="1534"/>
      <c r="I508" s="1534"/>
      <c r="J508" s="1534"/>
      <c r="K508" s="1534"/>
      <c r="L508" s="1533"/>
    </row>
    <row r="509" spans="2:12" s="1342" customFormat="1" ht="14.5">
      <c r="B509" s="1488"/>
      <c r="D509" s="1533"/>
      <c r="E509" s="1533"/>
      <c r="F509" s="1534"/>
      <c r="G509" s="1534"/>
      <c r="H509" s="1534"/>
      <c r="I509" s="1534"/>
      <c r="J509" s="1534"/>
      <c r="K509" s="1534"/>
      <c r="L509" s="1533"/>
    </row>
    <row r="510" spans="2:12" s="1342" customFormat="1" ht="14.5">
      <c r="B510" s="1488"/>
      <c r="D510" s="1533"/>
      <c r="E510" s="1533"/>
      <c r="F510" s="1534"/>
      <c r="G510" s="1534"/>
      <c r="H510" s="1534"/>
      <c r="I510" s="1534"/>
      <c r="J510" s="1534"/>
      <c r="K510" s="1534"/>
      <c r="L510" s="1533"/>
    </row>
    <row r="511" spans="2:12" s="1342" customFormat="1" ht="14.5">
      <c r="B511" s="1488"/>
      <c r="D511" s="1533"/>
      <c r="E511" s="1533"/>
      <c r="F511" s="1534"/>
      <c r="G511" s="1534"/>
      <c r="H511" s="1534"/>
      <c r="I511" s="1534"/>
      <c r="J511" s="1534"/>
      <c r="K511" s="1534"/>
      <c r="L511" s="1533"/>
    </row>
    <row r="512" spans="2:12"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row r="539" spans="2:12" s="1342" customFormat="1" ht="14.5">
      <c r="B539" s="1488"/>
      <c r="D539" s="1533"/>
      <c r="E539" s="1533"/>
      <c r="F539" s="1534"/>
      <c r="G539" s="1534"/>
      <c r="H539" s="1534"/>
      <c r="I539" s="1534"/>
      <c r="J539" s="1534"/>
      <c r="K539" s="1534"/>
      <c r="L539" s="1533"/>
    </row>
    <row r="540" spans="2:12" s="1342" customFormat="1" ht="14.5">
      <c r="B540" s="1488"/>
      <c r="D540" s="1533"/>
      <c r="E540" s="1533"/>
      <c r="F540" s="1534"/>
      <c r="G540" s="1534"/>
      <c r="H540" s="1534"/>
      <c r="I540" s="1534"/>
      <c r="J540" s="1534"/>
      <c r="K540" s="1534"/>
      <c r="L540" s="1533"/>
    </row>
    <row r="541" spans="2:12" s="1342" customFormat="1" ht="14.5">
      <c r="B541" s="1488"/>
      <c r="D541" s="1533"/>
      <c r="E541" s="1533"/>
      <c r="F541" s="1534"/>
      <c r="G541" s="1534"/>
      <c r="H541" s="1534"/>
      <c r="I541" s="1534"/>
      <c r="J541" s="1534"/>
      <c r="K541" s="1534"/>
      <c r="L541" s="1533"/>
    </row>
    <row r="542" spans="2:12" s="1342" customFormat="1" ht="14.5">
      <c r="B542" s="1488"/>
      <c r="D542" s="1533"/>
      <c r="E542" s="1533"/>
      <c r="F542" s="1534"/>
      <c r="G542" s="1534"/>
      <c r="H542" s="1534"/>
      <c r="I542" s="1534"/>
      <c r="J542" s="1534"/>
      <c r="K542" s="1534"/>
      <c r="L542" s="1533"/>
    </row>
    <row r="543" spans="2:12" s="1342" customFormat="1" ht="14.5">
      <c r="B543" s="1488"/>
      <c r="D543" s="1533"/>
      <c r="E543" s="1533"/>
      <c r="F543" s="1534"/>
      <c r="G543" s="1534"/>
      <c r="H543" s="1534"/>
      <c r="I543" s="1534"/>
      <c r="J543" s="1534"/>
      <c r="K543" s="1534"/>
      <c r="L543" s="1533"/>
    </row>
    <row r="544" spans="2:12" s="1342" customFormat="1" ht="14.5">
      <c r="B544" s="1488"/>
      <c r="D544" s="1533"/>
      <c r="E544" s="1533"/>
      <c r="F544" s="1534"/>
      <c r="G544" s="1534"/>
      <c r="H544" s="1534"/>
      <c r="I544" s="1534"/>
      <c r="J544" s="1534"/>
      <c r="K544" s="1534"/>
      <c r="L544" s="1533"/>
    </row>
    <row r="545" spans="2:12" s="1342" customFormat="1" ht="14.5">
      <c r="B545" s="1488"/>
      <c r="D545" s="1533"/>
      <c r="E545" s="1533"/>
      <c r="F545" s="1534"/>
      <c r="G545" s="1534"/>
      <c r="H545" s="1534"/>
      <c r="I545" s="1534"/>
      <c r="J545" s="1534"/>
      <c r="K545" s="1534"/>
      <c r="L545" s="1533"/>
    </row>
    <row r="546" spans="2:12" s="1342" customFormat="1" ht="14.5">
      <c r="B546" s="1488"/>
      <c r="D546" s="1533"/>
      <c r="E546" s="1533"/>
      <c r="F546" s="1534"/>
      <c r="G546" s="1534"/>
      <c r="H546" s="1534"/>
      <c r="I546" s="1534"/>
      <c r="J546" s="1534"/>
      <c r="K546" s="1534"/>
      <c r="L546" s="1533"/>
    </row>
    <row r="547" spans="2:12" s="1342" customFormat="1" ht="14.5">
      <c r="B547" s="1488"/>
      <c r="D547" s="1533"/>
      <c r="E547" s="1533"/>
      <c r="F547" s="1534"/>
      <c r="G547" s="1534"/>
      <c r="H547" s="1534"/>
      <c r="I547" s="1534"/>
      <c r="J547" s="1534"/>
      <c r="K547" s="1534"/>
      <c r="L547" s="1533"/>
    </row>
    <row r="548" spans="2:12" s="1342" customFormat="1" ht="14.5">
      <c r="B548" s="1488"/>
      <c r="D548" s="1533"/>
      <c r="E548" s="1533"/>
      <c r="F548" s="1534"/>
      <c r="G548" s="1534"/>
      <c r="H548" s="1534"/>
      <c r="I548" s="1534"/>
      <c r="J548" s="1534"/>
      <c r="K548" s="1534"/>
      <c r="L548" s="1533"/>
    </row>
    <row r="549" spans="2:12" s="1342" customFormat="1" ht="14.5">
      <c r="B549" s="1488"/>
      <c r="D549" s="1533"/>
      <c r="E549" s="1533"/>
      <c r="F549" s="1534"/>
      <c r="G549" s="1534"/>
      <c r="H549" s="1534"/>
      <c r="I549" s="1534"/>
      <c r="J549" s="1534"/>
      <c r="K549" s="1534"/>
      <c r="L549" s="1533"/>
    </row>
    <row r="550" spans="2:12" s="1342" customFormat="1" ht="14.5">
      <c r="B550" s="1488"/>
      <c r="D550" s="1533"/>
      <c r="E550" s="1533"/>
      <c r="F550" s="1534"/>
      <c r="G550" s="1534"/>
      <c r="H550" s="1534"/>
      <c r="I550" s="1534"/>
      <c r="J550" s="1534"/>
      <c r="K550" s="1534"/>
      <c r="L550" s="1533"/>
    </row>
    <row r="551" spans="2:12" s="1342" customFormat="1" ht="14.5">
      <c r="B551" s="1488"/>
      <c r="D551" s="1533"/>
      <c r="E551" s="1533"/>
      <c r="F551" s="1534"/>
      <c r="G551" s="1534"/>
      <c r="H551" s="1534"/>
      <c r="I551" s="1534"/>
      <c r="J551" s="1534"/>
      <c r="K551" s="1534"/>
      <c r="L551" s="1533"/>
    </row>
    <row r="552" spans="2:12" s="1342" customFormat="1" ht="14.5">
      <c r="B552" s="1488"/>
      <c r="D552" s="1533"/>
      <c r="E552" s="1533"/>
      <c r="F552" s="1534"/>
      <c r="G552" s="1534"/>
      <c r="H552" s="1534"/>
      <c r="I552" s="1534"/>
      <c r="J552" s="1534"/>
      <c r="K552" s="1534"/>
      <c r="L552" s="1533"/>
    </row>
    <row r="553" spans="2:12" s="1342" customFormat="1" ht="14.5">
      <c r="B553" s="1488"/>
      <c r="D553" s="1533"/>
      <c r="E553" s="1533"/>
      <c r="F553" s="1534"/>
      <c r="G553" s="1534"/>
      <c r="H553" s="1534"/>
      <c r="I553" s="1534"/>
      <c r="J553" s="1534"/>
      <c r="K553" s="1534"/>
      <c r="L553" s="1533"/>
    </row>
    <row r="554" spans="2:12" s="1342" customFormat="1" ht="14.5">
      <c r="B554" s="1488"/>
      <c r="D554" s="1533"/>
      <c r="E554" s="1533"/>
      <c r="F554" s="1534"/>
      <c r="G554" s="1534"/>
      <c r="H554" s="1534"/>
      <c r="I554" s="1534"/>
      <c r="J554" s="1534"/>
      <c r="K554" s="1534"/>
      <c r="L554" s="1533"/>
    </row>
    <row r="555" spans="2:12" s="1342" customFormat="1" ht="14.5">
      <c r="B555" s="1488"/>
      <c r="D555" s="1533"/>
      <c r="E555" s="1533"/>
      <c r="F555" s="1534"/>
      <c r="G555" s="1534"/>
      <c r="H555" s="1534"/>
      <c r="I555" s="1534"/>
      <c r="J555" s="1534"/>
      <c r="K555" s="1534"/>
      <c r="L555" s="1533"/>
    </row>
    <row r="556" spans="2:12" s="1342" customFormat="1" ht="14.5">
      <c r="B556" s="1488"/>
      <c r="D556" s="1533"/>
      <c r="E556" s="1533"/>
      <c r="F556" s="1534"/>
      <c r="G556" s="1534"/>
      <c r="H556" s="1534"/>
      <c r="I556" s="1534"/>
      <c r="J556" s="1534"/>
      <c r="K556" s="1534"/>
      <c r="L556" s="1533"/>
    </row>
    <row r="557" spans="2:12" s="1342" customFormat="1" ht="14.5">
      <c r="B557" s="1488"/>
      <c r="D557" s="1533"/>
      <c r="E557" s="1533"/>
      <c r="F557" s="1534"/>
      <c r="G557" s="1534"/>
      <c r="H557" s="1534"/>
      <c r="I557" s="1534"/>
      <c r="J557" s="1534"/>
      <c r="K557" s="1534"/>
      <c r="L557" s="1533"/>
    </row>
    <row r="558" spans="2:12" s="1342" customFormat="1" ht="14.5">
      <c r="B558" s="1488"/>
      <c r="D558" s="1533"/>
      <c r="E558" s="1533"/>
      <c r="F558" s="1534"/>
      <c r="G558" s="1534"/>
      <c r="H558" s="1534"/>
      <c r="I558" s="1534"/>
      <c r="J558" s="1534"/>
      <c r="K558" s="1534"/>
      <c r="L558" s="1533"/>
    </row>
    <row r="559" spans="2:12" s="1342" customFormat="1" ht="14.5">
      <c r="B559" s="1488"/>
      <c r="D559" s="1533"/>
      <c r="E559" s="1533"/>
      <c r="F559" s="1534"/>
      <c r="G559" s="1534"/>
      <c r="H559" s="1534"/>
      <c r="I559" s="1534"/>
      <c r="J559" s="1534"/>
      <c r="K559" s="1534"/>
      <c r="L559" s="1533"/>
    </row>
    <row r="560" spans="2:12" s="1342" customFormat="1" ht="14.5">
      <c r="B560" s="1488"/>
      <c r="D560" s="1533"/>
      <c r="E560" s="1533"/>
      <c r="F560" s="1534"/>
      <c r="G560" s="1534"/>
      <c r="H560" s="1534"/>
      <c r="I560" s="1534"/>
      <c r="J560" s="1534"/>
      <c r="K560" s="1534"/>
      <c r="L560" s="1533"/>
    </row>
    <row r="561" spans="2:12" s="1342" customFormat="1" ht="14.5">
      <c r="B561" s="1488"/>
      <c r="D561" s="1533"/>
      <c r="E561" s="1533"/>
      <c r="F561" s="1534"/>
      <c r="G561" s="1534"/>
      <c r="H561" s="1534"/>
      <c r="I561" s="1534"/>
      <c r="J561" s="1534"/>
      <c r="K561" s="1534"/>
      <c r="L561" s="1533"/>
    </row>
    <row r="562" spans="2:12" s="1342" customFormat="1" ht="14.5">
      <c r="B562" s="1488"/>
      <c r="D562" s="1533"/>
      <c r="E562" s="1533"/>
      <c r="F562" s="1534"/>
      <c r="G562" s="1534"/>
      <c r="H562" s="1534"/>
      <c r="I562" s="1534"/>
      <c r="J562" s="1534"/>
      <c r="K562" s="1534"/>
      <c r="L562" s="1533"/>
    </row>
    <row r="563" spans="2:12" s="1342" customFormat="1" ht="14.5">
      <c r="B563" s="1488"/>
      <c r="D563" s="1533"/>
      <c r="E563" s="1533"/>
      <c r="F563" s="1534"/>
      <c r="G563" s="1534"/>
      <c r="H563" s="1534"/>
      <c r="I563" s="1534"/>
      <c r="J563" s="1534"/>
      <c r="K563" s="1534"/>
      <c r="L563" s="1533"/>
    </row>
    <row r="564" spans="2:12" s="1342" customFormat="1" ht="14.5">
      <c r="B564" s="1488"/>
      <c r="D564" s="1533"/>
      <c r="E564" s="1533"/>
      <c r="F564" s="1534"/>
      <c r="G564" s="1534"/>
      <c r="H564" s="1534"/>
      <c r="I564" s="1534"/>
      <c r="J564" s="1534"/>
      <c r="K564" s="1534"/>
      <c r="L564" s="1533"/>
    </row>
    <row r="565" spans="2:12" s="1342" customFormat="1" ht="14.5">
      <c r="B565" s="1488"/>
      <c r="D565" s="1533"/>
      <c r="E565" s="1533"/>
      <c r="F565" s="1534"/>
      <c r="G565" s="1534"/>
      <c r="H565" s="1534"/>
      <c r="I565" s="1534"/>
      <c r="J565" s="1534"/>
      <c r="K565" s="1534"/>
      <c r="L565" s="1533"/>
    </row>
    <row r="566" spans="2:12" s="1342" customFormat="1" ht="14.5">
      <c r="B566" s="1488"/>
      <c r="D566" s="1533"/>
      <c r="E566" s="1533"/>
      <c r="F566" s="1534"/>
      <c r="G566" s="1534"/>
      <c r="H566" s="1534"/>
      <c r="I566" s="1534"/>
      <c r="J566" s="1534"/>
      <c r="K566" s="1534"/>
      <c r="L566" s="1533"/>
    </row>
    <row r="567" spans="2:12" s="1342" customFormat="1" ht="14.5">
      <c r="B567" s="1488"/>
      <c r="D567" s="1533"/>
      <c r="E567" s="1533"/>
      <c r="F567" s="1534"/>
      <c r="G567" s="1534"/>
      <c r="H567" s="1534"/>
      <c r="I567" s="1534"/>
      <c r="J567" s="1534"/>
      <c r="K567" s="1534"/>
      <c r="L567" s="1533"/>
    </row>
    <row r="568" spans="2:12" s="1342" customFormat="1" ht="14.5">
      <c r="B568" s="1488"/>
      <c r="D568" s="1533"/>
      <c r="E568" s="1533"/>
      <c r="F568" s="1534"/>
      <c r="G568" s="1534"/>
      <c r="H568" s="1534"/>
      <c r="I568" s="1534"/>
      <c r="J568" s="1534"/>
      <c r="K568" s="1534"/>
      <c r="L568" s="1533"/>
    </row>
    <row r="569" spans="2:12" s="1342" customFormat="1" ht="14.5">
      <c r="B569" s="1488"/>
      <c r="D569" s="1533"/>
      <c r="E569" s="1533"/>
      <c r="F569" s="1534"/>
      <c r="G569" s="1534"/>
      <c r="H569" s="1534"/>
      <c r="I569" s="1534"/>
      <c r="J569" s="1534"/>
      <c r="K569" s="1534"/>
      <c r="L569" s="1533"/>
    </row>
    <row r="570" spans="2:12" s="1342" customFormat="1" ht="14.5">
      <c r="B570" s="1488"/>
      <c r="D570" s="1533"/>
      <c r="E570" s="1533"/>
      <c r="F570" s="1534"/>
      <c r="G570" s="1534"/>
      <c r="H570" s="1534"/>
      <c r="I570" s="1534"/>
      <c r="J570" s="1534"/>
      <c r="K570" s="1534"/>
      <c r="L570" s="1533"/>
    </row>
    <row r="571" spans="2:12" s="1342" customFormat="1" ht="14.5">
      <c r="B571" s="1488"/>
      <c r="D571" s="1533"/>
      <c r="E571" s="1533"/>
      <c r="F571" s="1534"/>
      <c r="G571" s="1534"/>
      <c r="H571" s="1534"/>
      <c r="I571" s="1534"/>
      <c r="J571" s="1534"/>
      <c r="K571" s="1534"/>
      <c r="L571" s="1533"/>
    </row>
    <row r="572" spans="2:12" s="1342" customFormat="1" ht="14.5">
      <c r="B572" s="1488"/>
      <c r="D572" s="1533"/>
      <c r="E572" s="1533"/>
      <c r="F572" s="1534"/>
      <c r="G572" s="1534"/>
      <c r="H572" s="1534"/>
      <c r="I572" s="1534"/>
      <c r="J572" s="1534"/>
      <c r="K572" s="1534"/>
      <c r="L572" s="1533"/>
    </row>
    <row r="573" spans="2:12" s="1342" customFormat="1" ht="14.5">
      <c r="B573" s="1488"/>
      <c r="D573" s="1533"/>
      <c r="E573" s="1533"/>
      <c r="F573" s="1534"/>
      <c r="G573" s="1534"/>
      <c r="H573" s="1534"/>
      <c r="I573" s="1534"/>
      <c r="J573" s="1534"/>
      <c r="K573" s="1534"/>
      <c r="L573" s="1533"/>
    </row>
    <row r="574" spans="2:12" s="1342" customFormat="1" ht="14.5">
      <c r="B574" s="1488"/>
      <c r="D574" s="1533"/>
      <c r="E574" s="1533"/>
      <c r="F574" s="1534"/>
      <c r="G574" s="1534"/>
      <c r="H574" s="1534"/>
      <c r="I574" s="1534"/>
      <c r="J574" s="1534"/>
      <c r="K574" s="1534"/>
      <c r="L574" s="1533"/>
    </row>
    <row r="575" spans="2:12" s="1342" customFormat="1" ht="14.5">
      <c r="B575" s="1488"/>
      <c r="D575" s="1533"/>
      <c r="E575" s="1533"/>
      <c r="F575" s="1534"/>
      <c r="G575" s="1534"/>
      <c r="H575" s="1534"/>
      <c r="I575" s="1534"/>
      <c r="J575" s="1534"/>
      <c r="K575" s="1534"/>
      <c r="L575" s="1533"/>
    </row>
    <row r="576" spans="2:12" s="1342" customFormat="1" ht="14.5">
      <c r="B576" s="1488"/>
      <c r="D576" s="1533"/>
      <c r="E576" s="1533"/>
      <c r="F576" s="1534"/>
      <c r="G576" s="1534"/>
      <c r="H576" s="1534"/>
      <c r="I576" s="1534"/>
      <c r="J576" s="1534"/>
      <c r="K576" s="1534"/>
      <c r="L576" s="1533"/>
    </row>
    <row r="577" spans="2:12" s="1342" customFormat="1" ht="14.5">
      <c r="B577" s="1488"/>
      <c r="D577" s="1533"/>
      <c r="E577" s="1533"/>
      <c r="F577" s="1534"/>
      <c r="G577" s="1534"/>
      <c r="H577" s="1534"/>
      <c r="I577" s="1534"/>
      <c r="J577" s="1534"/>
      <c r="K577" s="1534"/>
      <c r="L577" s="1533"/>
    </row>
    <row r="578" spans="2:12" s="1342" customFormat="1" ht="14.5">
      <c r="B578" s="1488"/>
      <c r="D578" s="1533"/>
      <c r="E578" s="1533"/>
      <c r="F578" s="1534"/>
      <c r="G578" s="1534"/>
      <c r="H578" s="1534"/>
      <c r="I578" s="1534"/>
      <c r="J578" s="1534"/>
      <c r="K578" s="1534"/>
      <c r="L578" s="1533"/>
    </row>
    <row r="579" spans="2:12" s="1342" customFormat="1" ht="14.5">
      <c r="B579" s="1488"/>
      <c r="D579" s="1533"/>
      <c r="E579" s="1533"/>
      <c r="F579" s="1534"/>
      <c r="G579" s="1534"/>
      <c r="H579" s="1534"/>
      <c r="I579" s="1534"/>
      <c r="J579" s="1534"/>
      <c r="K579" s="1534"/>
      <c r="L579" s="1533"/>
    </row>
    <row r="580" spans="2:12" s="1342" customFormat="1" ht="14.5">
      <c r="B580" s="1488"/>
      <c r="D580" s="1533"/>
      <c r="E580" s="1533"/>
      <c r="F580" s="1534"/>
      <c r="G580" s="1534"/>
      <c r="H580" s="1534"/>
      <c r="I580" s="1534"/>
      <c r="J580" s="1534"/>
      <c r="K580" s="1534"/>
      <c r="L580" s="1533"/>
    </row>
    <row r="581" spans="2:12" s="1342" customFormat="1" ht="14.5">
      <c r="B581" s="1488"/>
      <c r="D581" s="1533"/>
      <c r="E581" s="1533"/>
      <c r="F581" s="1534"/>
      <c r="G581" s="1534"/>
      <c r="H581" s="1534"/>
      <c r="I581" s="1534"/>
      <c r="J581" s="1534"/>
      <c r="K581" s="1534"/>
      <c r="L581" s="1533"/>
    </row>
    <row r="582" spans="2:12" s="1342" customFormat="1" ht="14.5">
      <c r="B582" s="1488"/>
      <c r="D582" s="1533"/>
      <c r="E582" s="1533"/>
      <c r="F582" s="1534"/>
      <c r="G582" s="1534"/>
      <c r="H582" s="1534"/>
      <c r="I582" s="1534"/>
      <c r="J582" s="1534"/>
      <c r="K582" s="1534"/>
      <c r="L582" s="1533"/>
    </row>
    <row r="583" spans="2:12" s="1342" customFormat="1" ht="14.5">
      <c r="B583" s="1488"/>
      <c r="D583" s="1533"/>
      <c r="E583" s="1533"/>
      <c r="F583" s="1534"/>
      <c r="G583" s="1534"/>
      <c r="H583" s="1534"/>
      <c r="I583" s="1534"/>
      <c r="J583" s="1534"/>
      <c r="K583" s="1534"/>
      <c r="L583" s="1533"/>
    </row>
    <row r="584" spans="2:12" s="1342" customFormat="1" ht="14.5">
      <c r="B584" s="1488"/>
      <c r="D584" s="1533"/>
      <c r="E584" s="1533"/>
      <c r="F584" s="1534"/>
      <c r="G584" s="1534"/>
      <c r="H584" s="1534"/>
      <c r="I584" s="1534"/>
      <c r="J584" s="1534"/>
      <c r="K584" s="1534"/>
      <c r="L584" s="1533"/>
    </row>
    <row r="585" spans="2:12" s="1342" customFormat="1" ht="14.5">
      <c r="B585" s="1488"/>
      <c r="D585" s="1533"/>
      <c r="E585" s="1533"/>
      <c r="F585" s="1534"/>
      <c r="G585" s="1534"/>
      <c r="H585" s="1534"/>
      <c r="I585" s="1534"/>
      <c r="J585" s="1534"/>
      <c r="K585" s="1534"/>
      <c r="L585" s="1533"/>
    </row>
    <row r="586" spans="2:12" s="1342" customFormat="1" ht="14.5">
      <c r="B586" s="1488"/>
      <c r="D586" s="1533"/>
      <c r="E586" s="1533"/>
      <c r="F586" s="1534"/>
      <c r="G586" s="1534"/>
      <c r="H586" s="1534"/>
      <c r="I586" s="1534"/>
      <c r="J586" s="1534"/>
      <c r="K586" s="1534"/>
      <c r="L586" s="1533"/>
    </row>
    <row r="587" spans="2:12" s="1342" customFormat="1" ht="14.5">
      <c r="B587" s="1488"/>
      <c r="D587" s="1533"/>
      <c r="E587" s="1533"/>
      <c r="F587" s="1534"/>
      <c r="G587" s="1534"/>
      <c r="H587" s="1534"/>
      <c r="I587" s="1534"/>
      <c r="J587" s="1534"/>
      <c r="K587" s="1534"/>
      <c r="L587" s="1533"/>
    </row>
    <row r="588" spans="2:12" s="1342" customFormat="1" ht="14.5">
      <c r="B588" s="1488"/>
      <c r="D588" s="1533"/>
      <c r="E588" s="1533"/>
      <c r="F588" s="1534"/>
      <c r="G588" s="1534"/>
      <c r="H588" s="1534"/>
      <c r="I588" s="1534"/>
      <c r="J588" s="1534"/>
      <c r="K588" s="1534"/>
      <c r="L588" s="1533"/>
    </row>
    <row r="589" spans="2:12" s="1342" customFormat="1" ht="14.5">
      <c r="B589" s="1488"/>
      <c r="D589" s="1533"/>
      <c r="E589" s="1533"/>
      <c r="F589" s="1534"/>
      <c r="G589" s="1534"/>
      <c r="H589" s="1534"/>
      <c r="I589" s="1534"/>
      <c r="J589" s="1534"/>
      <c r="K589" s="1534"/>
      <c r="L589" s="1533"/>
    </row>
    <row r="590" spans="2:12" s="1342" customFormat="1" ht="14.5">
      <c r="B590" s="1488"/>
      <c r="D590" s="1533"/>
      <c r="E590" s="1533"/>
      <c r="F590" s="1534"/>
      <c r="G590" s="1534"/>
      <c r="H590" s="1534"/>
      <c r="I590" s="1534"/>
      <c r="J590" s="1534"/>
      <c r="K590" s="1534"/>
      <c r="L590" s="1533"/>
    </row>
    <row r="591" spans="2:12" s="1342" customFormat="1" ht="14.5">
      <c r="B591" s="1488"/>
      <c r="D591" s="1533"/>
      <c r="E591" s="1533"/>
      <c r="F591" s="1534"/>
      <c r="G591" s="1534"/>
      <c r="H591" s="1534"/>
      <c r="I591" s="1534"/>
      <c r="J591" s="1534"/>
      <c r="K591" s="1534"/>
      <c r="L591" s="1533"/>
    </row>
    <row r="592" spans="2:12" s="1342" customFormat="1" ht="14.5">
      <c r="B592" s="1488"/>
      <c r="D592" s="1533"/>
      <c r="E592" s="1533"/>
      <c r="F592" s="1534"/>
      <c r="G592" s="1534"/>
      <c r="H592" s="1534"/>
      <c r="I592" s="1534"/>
      <c r="J592" s="1534"/>
      <c r="K592" s="1534"/>
      <c r="L592" s="1533"/>
    </row>
    <row r="593" spans="2:12" s="1342" customFormat="1" ht="14.5">
      <c r="B593" s="1488"/>
      <c r="D593" s="1533"/>
      <c r="E593" s="1533"/>
      <c r="F593" s="1534"/>
      <c r="G593" s="1534"/>
      <c r="H593" s="1534"/>
      <c r="I593" s="1534"/>
      <c r="J593" s="1534"/>
      <c r="K593" s="1534"/>
      <c r="L593" s="1533"/>
    </row>
    <row r="594" spans="2:12" s="1342" customFormat="1" ht="14.5">
      <c r="B594" s="1488"/>
      <c r="D594" s="1533"/>
      <c r="E594" s="1533"/>
      <c r="F594" s="1534"/>
      <c r="G594" s="1534"/>
      <c r="H594" s="1534"/>
      <c r="I594" s="1534"/>
      <c r="J594" s="1534"/>
      <c r="K594" s="1534"/>
      <c r="L594" s="1533"/>
    </row>
    <row r="595" spans="2:12" s="1342" customFormat="1" ht="14.5">
      <c r="B595" s="1488"/>
      <c r="D595" s="1533"/>
      <c r="E595" s="1533"/>
      <c r="F595" s="1534"/>
      <c r="G595" s="1534"/>
      <c r="H595" s="1534"/>
      <c r="I595" s="1534"/>
      <c r="J595" s="1534"/>
      <c r="K595" s="1534"/>
      <c r="L595" s="1533"/>
    </row>
    <row r="596" spans="2:12" s="1342" customFormat="1" ht="14.5">
      <c r="B596" s="1488"/>
      <c r="D596" s="1533"/>
      <c r="E596" s="1533"/>
      <c r="F596" s="1534"/>
      <c r="G596" s="1534"/>
      <c r="H596" s="1534"/>
      <c r="I596" s="1534"/>
      <c r="J596" s="1534"/>
      <c r="K596" s="1534"/>
      <c r="L596" s="1533"/>
    </row>
    <row r="597" spans="2:12" s="1342" customFormat="1" ht="14.5">
      <c r="B597" s="1488"/>
      <c r="D597" s="1533"/>
      <c r="E597" s="1533"/>
      <c r="F597" s="1534"/>
      <c r="G597" s="1534"/>
      <c r="H597" s="1534"/>
      <c r="I597" s="1534"/>
      <c r="J597" s="1534"/>
      <c r="K597" s="1534"/>
      <c r="L597" s="1533"/>
    </row>
    <row r="598" spans="2:12" s="1342" customFormat="1" ht="14.5">
      <c r="B598" s="1488"/>
      <c r="D598" s="1533"/>
      <c r="E598" s="1533"/>
      <c r="F598" s="1534"/>
      <c r="G598" s="1534"/>
      <c r="H598" s="1534"/>
      <c r="I598" s="1534"/>
      <c r="J598" s="1534"/>
      <c r="K598" s="1534"/>
      <c r="L598" s="1533"/>
    </row>
    <row r="599" spans="2:12" s="1342" customFormat="1" ht="14.5">
      <c r="B599" s="1488"/>
      <c r="D599" s="1533"/>
      <c r="E599" s="1533"/>
      <c r="F599" s="1534"/>
      <c r="G599" s="1534"/>
      <c r="H599" s="1534"/>
      <c r="I599" s="1534"/>
      <c r="J599" s="1534"/>
      <c r="K599" s="1534"/>
      <c r="L599" s="1533"/>
    </row>
    <row r="600" spans="2:12" s="1342" customFormat="1" ht="14.5">
      <c r="B600" s="1488"/>
      <c r="D600" s="1533"/>
      <c r="E600" s="1533"/>
      <c r="F600" s="1534"/>
      <c r="G600" s="1534"/>
      <c r="H600" s="1534"/>
      <c r="I600" s="1534"/>
      <c r="J600" s="1534"/>
      <c r="K600" s="1534"/>
      <c r="L600" s="1533"/>
    </row>
    <row r="601" spans="2:12" s="1342" customFormat="1" ht="14.5">
      <c r="B601" s="1488"/>
      <c r="D601" s="1533"/>
      <c r="E601" s="1533"/>
      <c r="F601" s="1534"/>
      <c r="G601" s="1534"/>
      <c r="H601" s="1534"/>
      <c r="I601" s="1534"/>
      <c r="J601" s="1534"/>
      <c r="K601" s="1534"/>
      <c r="L601" s="1533"/>
    </row>
    <row r="602" spans="2:12" s="1342" customFormat="1" ht="14.5">
      <c r="B602" s="1488"/>
      <c r="D602" s="1533"/>
      <c r="E602" s="1533"/>
      <c r="F602" s="1534"/>
      <c r="G602" s="1534"/>
      <c r="H602" s="1534"/>
      <c r="I602" s="1534"/>
      <c r="J602" s="1534"/>
      <c r="K602" s="1534"/>
      <c r="L602" s="1533"/>
    </row>
    <row r="603" spans="2:12" s="1342" customFormat="1" ht="14.5">
      <c r="B603" s="1488"/>
      <c r="D603" s="1533"/>
      <c r="E603" s="1533"/>
      <c r="F603" s="1534"/>
      <c r="G603" s="1534"/>
      <c r="H603" s="1534"/>
      <c r="I603" s="1534"/>
      <c r="J603" s="1534"/>
      <c r="K603" s="1534"/>
      <c r="L603" s="1533"/>
    </row>
    <row r="604" spans="2:12" s="1342" customFormat="1" ht="14.5">
      <c r="B604" s="1488"/>
      <c r="D604" s="1533"/>
      <c r="E604" s="1533"/>
      <c r="F604" s="1534"/>
      <c r="G604" s="1534"/>
      <c r="H604" s="1534"/>
      <c r="I604" s="1534"/>
      <c r="J604" s="1534"/>
      <c r="K604" s="1534"/>
      <c r="L604" s="1533"/>
    </row>
    <row r="605" spans="2:12" s="1342" customFormat="1" ht="14.5">
      <c r="B605" s="1488"/>
      <c r="D605" s="1533"/>
      <c r="E605" s="1533"/>
      <c r="F605" s="1534"/>
      <c r="G605" s="1534"/>
      <c r="H605" s="1534"/>
      <c r="I605" s="1534"/>
      <c r="J605" s="1534"/>
      <c r="K605" s="1534"/>
      <c r="L605" s="1533"/>
    </row>
    <row r="606" spans="2:12" s="1342" customFormat="1" ht="14.5">
      <c r="B606" s="1488"/>
      <c r="D606" s="1533"/>
      <c r="E606" s="1533"/>
      <c r="F606" s="1534"/>
      <c r="G606" s="1534"/>
      <c r="H606" s="1534"/>
      <c r="I606" s="1534"/>
      <c r="J606" s="1534"/>
      <c r="K606" s="1534"/>
      <c r="L606" s="1533"/>
    </row>
    <row r="607" spans="2:12" s="1342" customFormat="1" ht="14.5">
      <c r="B607" s="1488"/>
      <c r="D607" s="1533"/>
      <c r="E607" s="1533"/>
      <c r="F607" s="1534"/>
      <c r="G607" s="1534"/>
      <c r="H607" s="1534"/>
      <c r="I607" s="1534"/>
      <c r="J607" s="1534"/>
      <c r="K607" s="1534"/>
      <c r="L607" s="1533"/>
    </row>
    <row r="608" spans="2:12" s="1342" customFormat="1" ht="14.5">
      <c r="B608" s="1488"/>
      <c r="D608" s="1533"/>
      <c r="E608" s="1533"/>
      <c r="F608" s="1534"/>
      <c r="G608" s="1534"/>
      <c r="H608" s="1534"/>
      <c r="I608" s="1534"/>
      <c r="J608" s="1534"/>
      <c r="K608" s="1534"/>
      <c r="L608" s="1533"/>
    </row>
    <row r="609" spans="2:12" s="1342" customFormat="1" ht="14.5">
      <c r="B609" s="1488"/>
      <c r="D609" s="1533"/>
      <c r="E609" s="1533"/>
      <c r="F609" s="1534"/>
      <c r="G609" s="1534"/>
      <c r="H609" s="1534"/>
      <c r="I609" s="1534"/>
      <c r="J609" s="1534"/>
      <c r="K609" s="1534"/>
      <c r="L609" s="1533"/>
    </row>
    <row r="610" spans="2:12" s="1342" customFormat="1" ht="14.5">
      <c r="B610" s="1488"/>
      <c r="D610" s="1533"/>
      <c r="E610" s="1533"/>
      <c r="F610" s="1534"/>
      <c r="G610" s="1534"/>
      <c r="H610" s="1534"/>
      <c r="I610" s="1534"/>
      <c r="J610" s="1534"/>
      <c r="K610" s="1534"/>
      <c r="L610" s="1533"/>
    </row>
    <row r="611" spans="2:12" s="1342" customFormat="1" ht="14.5">
      <c r="B611" s="1488"/>
      <c r="D611" s="1533"/>
      <c r="E611" s="1533"/>
      <c r="F611" s="1534"/>
      <c r="G611" s="1534"/>
      <c r="H611" s="1534"/>
      <c r="I611" s="1534"/>
      <c r="J611" s="1534"/>
      <c r="K611" s="1534"/>
      <c r="L611" s="1533"/>
    </row>
    <row r="612" spans="2:12" s="1342" customFormat="1" ht="14.5">
      <c r="B612" s="1488"/>
      <c r="D612" s="1533"/>
      <c r="E612" s="1533"/>
      <c r="F612" s="1534"/>
      <c r="G612" s="1534"/>
      <c r="H612" s="1534"/>
      <c r="I612" s="1534"/>
      <c r="J612" s="1534"/>
      <c r="K612" s="1534"/>
      <c r="L612" s="1533"/>
    </row>
    <row r="613" spans="2:12" s="1342" customFormat="1" ht="14.5">
      <c r="B613" s="1488"/>
      <c r="D613" s="1533"/>
      <c r="E613" s="1533"/>
      <c r="F613" s="1534"/>
      <c r="G613" s="1534"/>
      <c r="H613" s="1534"/>
      <c r="I613" s="1534"/>
      <c r="J613" s="1534"/>
      <c r="K613" s="1534"/>
      <c r="L613" s="1533"/>
    </row>
    <row r="614" spans="2:12" s="1342" customFormat="1" ht="14.5">
      <c r="B614" s="1488"/>
      <c r="D614" s="1533"/>
      <c r="E614" s="1533"/>
      <c r="F614" s="1534"/>
      <c r="G614" s="1534"/>
      <c r="H614" s="1534"/>
      <c r="I614" s="1534"/>
      <c r="J614" s="1534"/>
      <c r="K614" s="1534"/>
      <c r="L614" s="1533"/>
    </row>
    <row r="615" spans="2:12" s="1342" customFormat="1" ht="14.5">
      <c r="B615" s="1488"/>
      <c r="D615" s="1533"/>
      <c r="E615" s="1533"/>
      <c r="F615" s="1534"/>
      <c r="G615" s="1534"/>
      <c r="H615" s="1534"/>
      <c r="I615" s="1534"/>
      <c r="J615" s="1534"/>
      <c r="K615" s="1534"/>
      <c r="L615" s="1533"/>
    </row>
    <row r="616" spans="2:12" s="1342" customFormat="1" ht="14.5">
      <c r="B616" s="1488"/>
      <c r="D616" s="1533"/>
      <c r="E616" s="1533"/>
      <c r="F616" s="1534"/>
      <c r="G616" s="1534"/>
      <c r="H616" s="1534"/>
      <c r="I616" s="1534"/>
      <c r="J616" s="1534"/>
      <c r="K616" s="1534"/>
      <c r="L616" s="1533"/>
    </row>
    <row r="617" spans="2:12" s="1342" customFormat="1" ht="14.5">
      <c r="B617" s="1488"/>
      <c r="D617" s="1533"/>
      <c r="E617" s="1533"/>
      <c r="F617" s="1534"/>
      <c r="G617" s="1534"/>
      <c r="H617" s="1534"/>
      <c r="I617" s="1534"/>
      <c r="J617" s="1534"/>
      <c r="K617" s="1534"/>
      <c r="L617" s="1533"/>
    </row>
    <row r="618" spans="2:12" s="1342" customFormat="1" ht="14.5">
      <c r="B618" s="1488"/>
      <c r="D618" s="1533"/>
      <c r="E618" s="1533"/>
      <c r="F618" s="1534"/>
      <c r="G618" s="1534"/>
      <c r="H618" s="1534"/>
      <c r="I618" s="1534"/>
      <c r="J618" s="1534"/>
      <c r="K618" s="1534"/>
      <c r="L618" s="1533"/>
    </row>
    <row r="619" spans="2:12" s="1342" customFormat="1" ht="14.5">
      <c r="B619" s="1488"/>
      <c r="D619" s="1533"/>
      <c r="E619" s="1533"/>
      <c r="F619" s="1534"/>
      <c r="G619" s="1534"/>
      <c r="H619" s="1534"/>
      <c r="I619" s="1534"/>
      <c r="J619" s="1534"/>
      <c r="K619" s="1534"/>
      <c r="L619" s="1533"/>
    </row>
    <row r="620" spans="2:12" s="1342" customFormat="1" ht="14.5">
      <c r="B620" s="1488"/>
      <c r="D620" s="1533"/>
      <c r="E620" s="1533"/>
      <c r="F620" s="1534"/>
      <c r="G620" s="1534"/>
      <c r="H620" s="1534"/>
      <c r="I620" s="1534"/>
      <c r="J620" s="1534"/>
      <c r="K620" s="1534"/>
      <c r="L620" s="1533"/>
    </row>
    <row r="621" spans="2:12" s="1342" customFormat="1" ht="14.5">
      <c r="B621" s="1488"/>
      <c r="D621" s="1533"/>
      <c r="E621" s="1533"/>
      <c r="F621" s="1534"/>
      <c r="G621" s="1534"/>
      <c r="H621" s="1534"/>
      <c r="I621" s="1534"/>
      <c r="J621" s="1534"/>
      <c r="K621" s="1534"/>
      <c r="L621" s="1533"/>
    </row>
    <row r="622" spans="2:12" s="1342" customFormat="1" ht="14.5">
      <c r="B622" s="1488"/>
      <c r="D622" s="1533"/>
      <c r="E622" s="1533"/>
      <c r="F622" s="1534"/>
      <c r="G622" s="1534"/>
      <c r="H622" s="1534"/>
      <c r="I622" s="1534"/>
      <c r="J622" s="1534"/>
      <c r="K622" s="1534"/>
      <c r="L622" s="1533"/>
    </row>
    <row r="623" spans="2:12" s="1342" customFormat="1" ht="14.5">
      <c r="B623" s="1488"/>
      <c r="D623" s="1533"/>
      <c r="E623" s="1533"/>
      <c r="F623" s="1534"/>
      <c r="G623" s="1534"/>
      <c r="H623" s="1534"/>
      <c r="I623" s="1534"/>
      <c r="J623" s="1534"/>
      <c r="K623" s="1534"/>
      <c r="L623" s="1533"/>
    </row>
    <row r="624" spans="2:12" s="1342" customFormat="1" ht="14.5">
      <c r="B624" s="1488"/>
      <c r="D624" s="1533"/>
      <c r="E624" s="1533"/>
      <c r="F624" s="1534"/>
      <c r="G624" s="1534"/>
      <c r="H624" s="1534"/>
      <c r="I624" s="1534"/>
      <c r="J624" s="1534"/>
      <c r="K624" s="1534"/>
      <c r="L624" s="1533"/>
    </row>
    <row r="625" spans="2:12" s="1342" customFormat="1" ht="14.5">
      <c r="B625" s="1488"/>
      <c r="D625" s="1533"/>
      <c r="E625" s="1533"/>
      <c r="F625" s="1534"/>
      <c r="G625" s="1534"/>
      <c r="H625" s="1534"/>
      <c r="I625" s="1534"/>
      <c r="J625" s="1534"/>
      <c r="K625" s="1534"/>
      <c r="L625" s="1533"/>
    </row>
    <row r="626" spans="2:12" s="1342" customFormat="1" ht="14.5">
      <c r="B626" s="1488"/>
      <c r="D626" s="1533"/>
      <c r="E626" s="1533"/>
      <c r="F626" s="1534"/>
      <c r="G626" s="1534"/>
      <c r="H626" s="1534"/>
      <c r="I626" s="1534"/>
      <c r="J626" s="1534"/>
      <c r="K626" s="1534"/>
      <c r="L626" s="1533"/>
    </row>
    <row r="627" spans="2:12" s="1342" customFormat="1" ht="14.5">
      <c r="B627" s="1488"/>
      <c r="D627" s="1533"/>
      <c r="E627" s="1533"/>
      <c r="F627" s="1534"/>
      <c r="G627" s="1534"/>
      <c r="H627" s="1534"/>
      <c r="I627" s="1534"/>
      <c r="J627" s="1534"/>
      <c r="K627" s="1534"/>
      <c r="L627" s="1533"/>
    </row>
    <row r="628" spans="2:12" s="1342" customFormat="1" ht="14.5">
      <c r="B628" s="1488"/>
      <c r="D628" s="1533"/>
      <c r="E628" s="1533"/>
      <c r="F628" s="1534"/>
      <c r="G628" s="1534"/>
      <c r="H628" s="1534"/>
      <c r="I628" s="1534"/>
      <c r="J628" s="1534"/>
      <c r="K628" s="1534"/>
      <c r="L628" s="1533"/>
    </row>
    <row r="629" spans="2:12" s="1342" customFormat="1" ht="14.5">
      <c r="B629" s="1488"/>
      <c r="D629" s="1533"/>
      <c r="E629" s="1533"/>
      <c r="F629" s="1534"/>
      <c r="G629" s="1534"/>
      <c r="H629" s="1534"/>
      <c r="I629" s="1534"/>
      <c r="J629" s="1534"/>
      <c r="K629" s="1534"/>
      <c r="L629" s="1533"/>
    </row>
    <row r="630" spans="2:12" s="1342" customFormat="1" ht="14.5">
      <c r="B630" s="1488"/>
      <c r="D630" s="1533"/>
      <c r="E630" s="1533"/>
      <c r="F630" s="1534"/>
      <c r="G630" s="1534"/>
      <c r="H630" s="1534"/>
      <c r="I630" s="1534"/>
      <c r="J630" s="1534"/>
      <c r="K630" s="1534"/>
      <c r="L630" s="1533"/>
    </row>
    <row r="631" spans="2:12" s="1342" customFormat="1" ht="14.5">
      <c r="B631" s="1488"/>
      <c r="D631" s="1533"/>
      <c r="E631" s="1533"/>
      <c r="F631" s="1534"/>
      <c r="G631" s="1534"/>
      <c r="H631" s="1534"/>
      <c r="I631" s="1534"/>
      <c r="J631" s="1534"/>
      <c r="K631" s="1534"/>
      <c r="L631" s="1533"/>
    </row>
    <row r="632" spans="2:12" s="1342" customFormat="1" ht="14.5">
      <c r="B632" s="1488"/>
      <c r="D632" s="1533"/>
      <c r="E632" s="1533"/>
      <c r="F632" s="1534"/>
      <c r="G632" s="1534"/>
      <c r="H632" s="1534"/>
      <c r="I632" s="1534"/>
      <c r="J632" s="1534"/>
      <c r="K632" s="1534"/>
      <c r="L632" s="1533"/>
    </row>
    <row r="633" spans="2:12" s="1342" customFormat="1" ht="14.5">
      <c r="B633" s="1488"/>
      <c r="D633" s="1533"/>
      <c r="E633" s="1533"/>
      <c r="F633" s="1534"/>
      <c r="G633" s="1534"/>
      <c r="H633" s="1534"/>
      <c r="I633" s="1534"/>
      <c r="J633" s="1534"/>
      <c r="K633" s="1534"/>
      <c r="L633" s="1533"/>
    </row>
    <row r="634" spans="2:12" s="1342" customFormat="1" ht="14.5">
      <c r="B634" s="1488"/>
      <c r="D634" s="1533"/>
      <c r="E634" s="1533"/>
      <c r="F634" s="1534"/>
      <c r="G634" s="1534"/>
      <c r="H634" s="1534"/>
      <c r="I634" s="1534"/>
      <c r="J634" s="1534"/>
      <c r="K634" s="1534"/>
      <c r="L634" s="1533"/>
    </row>
    <row r="635" spans="2:12" s="1342" customFormat="1" ht="14.5">
      <c r="B635" s="1488"/>
      <c r="D635" s="1533"/>
      <c r="E635" s="1533"/>
      <c r="F635" s="1534"/>
      <c r="G635" s="1534"/>
      <c r="H635" s="1534"/>
      <c r="I635" s="1534"/>
      <c r="J635" s="1534"/>
      <c r="K635" s="1534"/>
      <c r="L635" s="1533"/>
    </row>
    <row r="636" spans="2:12" s="1342" customFormat="1" ht="14.5">
      <c r="B636" s="1488"/>
      <c r="D636" s="1533"/>
      <c r="E636" s="1533"/>
      <c r="F636" s="1534"/>
      <c r="G636" s="1534"/>
      <c r="H636" s="1534"/>
      <c r="I636" s="1534"/>
      <c r="J636" s="1534"/>
      <c r="K636" s="1534"/>
      <c r="L636" s="1533"/>
    </row>
    <row r="637" spans="2:12" s="1342" customFormat="1" ht="14.5">
      <c r="B637" s="1488"/>
      <c r="D637" s="1533"/>
      <c r="E637" s="1533"/>
      <c r="F637" s="1534"/>
      <c r="G637" s="1534"/>
      <c r="H637" s="1534"/>
      <c r="I637" s="1534"/>
      <c r="J637" s="1534"/>
      <c r="K637" s="1534"/>
      <c r="L637" s="1533"/>
    </row>
    <row r="638" spans="2:12" s="1342" customFormat="1" ht="14.5">
      <c r="B638" s="1488"/>
      <c r="D638" s="1533"/>
      <c r="E638" s="1533"/>
      <c r="F638" s="1534"/>
      <c r="G638" s="1534"/>
      <c r="H638" s="1534"/>
      <c r="I638" s="1534"/>
      <c r="J638" s="1534"/>
      <c r="K638" s="1534"/>
      <c r="L638" s="1533"/>
    </row>
    <row r="639" spans="2:12" s="1342" customFormat="1" ht="14.5">
      <c r="B639" s="1488"/>
      <c r="D639" s="1533"/>
      <c r="E639" s="1533"/>
      <c r="F639" s="1534"/>
      <c r="G639" s="1534"/>
      <c r="H639" s="1534"/>
      <c r="I639" s="1534"/>
      <c r="J639" s="1534"/>
      <c r="K639" s="1534"/>
      <c r="L639" s="1533"/>
    </row>
    <row r="640" spans="2:12" s="1342" customFormat="1" ht="14.5">
      <c r="B640" s="1488"/>
      <c r="D640" s="1533"/>
      <c r="E640" s="1533"/>
      <c r="F640" s="1534"/>
      <c r="G640" s="1534"/>
      <c r="H640" s="1534"/>
      <c r="I640" s="1534"/>
      <c r="J640" s="1534"/>
      <c r="K640" s="1534"/>
      <c r="L640" s="1533"/>
    </row>
    <row r="641" spans="2:12" s="1342" customFormat="1" ht="14.5">
      <c r="B641" s="1488"/>
      <c r="D641" s="1533"/>
      <c r="E641" s="1533"/>
      <c r="F641" s="1534"/>
      <c r="G641" s="1534"/>
      <c r="H641" s="1534"/>
      <c r="I641" s="1534"/>
      <c r="J641" s="1534"/>
      <c r="K641" s="1534"/>
      <c r="L641" s="1533"/>
    </row>
    <row r="642" spans="2:12" s="1342" customFormat="1" ht="14.5">
      <c r="B642" s="1488"/>
      <c r="D642" s="1533"/>
      <c r="E642" s="1533"/>
      <c r="F642" s="1534"/>
      <c r="G642" s="1534"/>
      <c r="H642" s="1534"/>
      <c r="I642" s="1534"/>
      <c r="J642" s="1534"/>
      <c r="K642" s="1534"/>
      <c r="L642" s="1533"/>
    </row>
    <row r="643" spans="2:12" s="1342" customFormat="1" ht="14.5">
      <c r="B643" s="1488"/>
      <c r="D643" s="1533"/>
      <c r="E643" s="1533"/>
      <c r="F643" s="1534"/>
      <c r="G643" s="1534"/>
      <c r="H643" s="1534"/>
      <c r="I643" s="1534"/>
      <c r="J643" s="1534"/>
      <c r="K643" s="1534"/>
      <c r="L643" s="1533"/>
    </row>
    <row r="644" spans="2:12" s="1342" customFormat="1" ht="14.5">
      <c r="B644" s="1488"/>
      <c r="D644" s="1533"/>
      <c r="E644" s="1533"/>
      <c r="F644" s="1534"/>
      <c r="G644" s="1534"/>
      <c r="H644" s="1534"/>
      <c r="I644" s="1534"/>
      <c r="J644" s="1534"/>
      <c r="K644" s="1534"/>
      <c r="L644" s="1533"/>
    </row>
    <row r="645" spans="2:12" s="1342" customFormat="1" ht="14.5">
      <c r="B645" s="1488"/>
      <c r="D645" s="1533"/>
      <c r="E645" s="1533"/>
      <c r="F645" s="1534"/>
      <c r="G645" s="1534"/>
      <c r="H645" s="1534"/>
      <c r="I645" s="1534"/>
      <c r="J645" s="1534"/>
      <c r="K645" s="1534"/>
      <c r="L645" s="1533"/>
    </row>
    <row r="646" spans="2:12" s="1342" customFormat="1" ht="14.5">
      <c r="B646" s="1488"/>
      <c r="D646" s="1533"/>
      <c r="E646" s="1533"/>
      <c r="F646" s="1534"/>
      <c r="G646" s="1534"/>
      <c r="H646" s="1534"/>
      <c r="I646" s="1534"/>
      <c r="J646" s="1534"/>
      <c r="K646" s="1534"/>
      <c r="L646" s="1533"/>
    </row>
    <row r="647" spans="2:12" s="1342" customFormat="1" ht="14.5">
      <c r="B647" s="1488"/>
      <c r="D647" s="1533"/>
      <c r="E647" s="1533"/>
      <c r="F647" s="1534"/>
      <c r="G647" s="1534"/>
      <c r="H647" s="1534"/>
      <c r="I647" s="1534"/>
      <c r="J647" s="1534"/>
      <c r="K647" s="1534"/>
      <c r="L647" s="1533"/>
    </row>
    <row r="648" spans="2:12" s="1342" customFormat="1" ht="14.5">
      <c r="B648" s="1488"/>
      <c r="D648" s="1533"/>
      <c r="E648" s="1533"/>
      <c r="F648" s="1534"/>
      <c r="G648" s="1534"/>
      <c r="H648" s="1534"/>
      <c r="I648" s="1534"/>
      <c r="J648" s="1534"/>
      <c r="K648" s="1534"/>
      <c r="L648" s="1533"/>
    </row>
    <row r="649" spans="2:12" s="1342" customFormat="1" ht="14.5">
      <c r="B649" s="1488"/>
      <c r="D649" s="1533"/>
      <c r="E649" s="1533"/>
      <c r="F649" s="1534"/>
      <c r="G649" s="1534"/>
      <c r="H649" s="1534"/>
      <c r="I649" s="1534"/>
      <c r="J649" s="1534"/>
      <c r="K649" s="1534"/>
      <c r="L649" s="1533"/>
    </row>
    <row r="650" spans="2:12" s="1342" customFormat="1" ht="14.5">
      <c r="B650" s="1488"/>
      <c r="D650" s="1533"/>
      <c r="E650" s="1533"/>
      <c r="F650" s="1534"/>
      <c r="G650" s="1534"/>
      <c r="H650" s="1534"/>
      <c r="I650" s="1534"/>
      <c r="J650" s="1534"/>
      <c r="K650" s="1534"/>
      <c r="L650" s="1533"/>
    </row>
    <row r="651" spans="2:12" s="1342" customFormat="1" ht="14.5">
      <c r="B651" s="1488"/>
      <c r="D651" s="1533"/>
      <c r="E651" s="1533"/>
      <c r="F651" s="1534"/>
      <c r="G651" s="1534"/>
      <c r="H651" s="1534"/>
      <c r="I651" s="1534"/>
      <c r="J651" s="1534"/>
      <c r="K651" s="1534"/>
      <c r="L651" s="1533"/>
    </row>
    <row r="652" spans="2:12" s="1342" customFormat="1" ht="14.5">
      <c r="B652" s="1488"/>
      <c r="D652" s="1533"/>
      <c r="E652" s="1533"/>
      <c r="F652" s="1534"/>
      <c r="G652" s="1534"/>
      <c r="H652" s="1534"/>
      <c r="I652" s="1534"/>
      <c r="J652" s="1534"/>
      <c r="K652" s="1534"/>
      <c r="L652" s="1533"/>
    </row>
    <row r="653" spans="2:12" s="1342" customFormat="1" ht="14.5">
      <c r="B653" s="1488"/>
      <c r="D653" s="1533"/>
      <c r="E653" s="1533"/>
      <c r="F653" s="1534"/>
      <c r="G653" s="1534"/>
      <c r="H653" s="1534"/>
      <c r="I653" s="1534"/>
      <c r="J653" s="1534"/>
      <c r="K653" s="1534"/>
      <c r="L653" s="1533"/>
    </row>
    <row r="654" spans="2:12" s="1342" customFormat="1" ht="14.5">
      <c r="B654" s="1488"/>
      <c r="D654" s="1533"/>
      <c r="E654" s="1533"/>
      <c r="F654" s="1534"/>
      <c r="G654" s="1534"/>
      <c r="H654" s="1534"/>
      <c r="I654" s="1534"/>
      <c r="J654" s="1534"/>
      <c r="K654" s="1534"/>
      <c r="L654" s="1533"/>
    </row>
    <row r="655" spans="2:12" s="1342" customFormat="1" ht="14.5">
      <c r="B655" s="1488"/>
      <c r="D655" s="1533"/>
      <c r="E655" s="1533"/>
      <c r="F655" s="1534"/>
      <c r="G655" s="1534"/>
      <c r="H655" s="1534"/>
      <c r="I655" s="1534"/>
      <c r="J655" s="1534"/>
      <c r="K655" s="1534"/>
      <c r="L655" s="1533"/>
    </row>
    <row r="656" spans="2:12" s="1342" customFormat="1" ht="14.5">
      <c r="B656" s="1488"/>
      <c r="D656" s="1533"/>
      <c r="E656" s="1533"/>
      <c r="F656" s="1534"/>
      <c r="G656" s="1534"/>
      <c r="H656" s="1534"/>
      <c r="I656" s="1534"/>
      <c r="J656" s="1534"/>
      <c r="K656" s="1534"/>
      <c r="L656" s="1533"/>
    </row>
    <row r="657" spans="2:12" s="1342" customFormat="1" ht="14.5">
      <c r="B657" s="1488"/>
      <c r="D657" s="1533"/>
      <c r="E657" s="1533"/>
      <c r="F657" s="1534"/>
      <c r="G657" s="1534"/>
      <c r="H657" s="1534"/>
      <c r="I657" s="1534"/>
      <c r="J657" s="1534"/>
      <c r="K657" s="1534"/>
      <c r="L657" s="1533"/>
    </row>
    <row r="658" spans="2:12" s="1342" customFormat="1" ht="14.5">
      <c r="B658" s="1488"/>
      <c r="D658" s="1533"/>
      <c r="E658" s="1533"/>
      <c r="F658" s="1534"/>
      <c r="G658" s="1534"/>
      <c r="H658" s="1534"/>
      <c r="I658" s="1534"/>
      <c r="J658" s="1534"/>
      <c r="K658" s="1534"/>
      <c r="L658" s="1533"/>
    </row>
    <row r="659" spans="2:12" s="1342" customFormat="1" ht="14.5">
      <c r="B659" s="1488"/>
      <c r="D659" s="1533"/>
      <c r="E659" s="1533"/>
      <c r="F659" s="1534"/>
      <c r="G659" s="1534"/>
      <c r="H659" s="1534"/>
      <c r="I659" s="1534"/>
      <c r="J659" s="1534"/>
      <c r="K659" s="1534"/>
      <c r="L659" s="1533"/>
    </row>
    <row r="660" spans="2:12" s="1342" customFormat="1" ht="14.5">
      <c r="B660" s="1488"/>
      <c r="D660" s="1533"/>
      <c r="E660" s="1533"/>
      <c r="F660" s="1534"/>
      <c r="G660" s="1534"/>
      <c r="H660" s="1534"/>
      <c r="I660" s="1534"/>
      <c r="J660" s="1534"/>
      <c r="K660" s="1534"/>
      <c r="L660" s="1533"/>
    </row>
    <row r="661" spans="2:12" s="1342" customFormat="1" ht="14.5">
      <c r="B661" s="1488"/>
      <c r="D661" s="1533"/>
      <c r="E661" s="1533"/>
      <c r="F661" s="1534"/>
      <c r="G661" s="1534"/>
      <c r="H661" s="1534"/>
      <c r="I661" s="1534"/>
      <c r="J661" s="1534"/>
      <c r="K661" s="1534"/>
      <c r="L661" s="1533"/>
    </row>
    <row r="662" spans="2:12" s="1342" customFormat="1" ht="14.5">
      <c r="B662" s="1488"/>
      <c r="D662" s="1533"/>
      <c r="E662" s="1533"/>
      <c r="F662" s="1534"/>
      <c r="G662" s="1534"/>
      <c r="H662" s="1534"/>
      <c r="I662" s="1534"/>
      <c r="J662" s="1534"/>
      <c r="K662" s="1534"/>
      <c r="L662" s="1533"/>
    </row>
    <row r="663" spans="2:12" s="1342" customFormat="1" ht="14.5">
      <c r="B663" s="1488"/>
      <c r="D663" s="1533"/>
      <c r="E663" s="1533"/>
      <c r="F663" s="1534"/>
      <c r="G663" s="1534"/>
      <c r="H663" s="1534"/>
      <c r="I663" s="1534"/>
      <c r="J663" s="1534"/>
      <c r="K663" s="1534"/>
      <c r="L663" s="1533"/>
    </row>
    <row r="664" spans="2:12" s="1342" customFormat="1" ht="14.5">
      <c r="B664" s="1488"/>
      <c r="D664" s="1533"/>
      <c r="E664" s="1533"/>
      <c r="F664" s="1534"/>
      <c r="G664" s="1534"/>
      <c r="H664" s="1534"/>
      <c r="I664" s="1534"/>
      <c r="J664" s="1534"/>
      <c r="K664" s="1534"/>
      <c r="L664" s="1533"/>
    </row>
    <row r="665" spans="2:12" s="1342" customFormat="1" ht="14.5">
      <c r="B665" s="1488"/>
      <c r="D665" s="1533"/>
      <c r="E665" s="1533"/>
      <c r="F665" s="1534"/>
      <c r="G665" s="1534"/>
      <c r="H665" s="1534"/>
      <c r="I665" s="1534"/>
      <c r="J665" s="1534"/>
      <c r="K665" s="1534"/>
      <c r="L665" s="1533"/>
    </row>
    <row r="666" spans="2:12" s="1342" customFormat="1" ht="14.5">
      <c r="B666" s="1488"/>
      <c r="D666" s="1533"/>
      <c r="E666" s="1533"/>
      <c r="F666" s="1534"/>
      <c r="G666" s="1534"/>
      <c r="H666" s="1534"/>
      <c r="I666" s="1534"/>
      <c r="J666" s="1534"/>
      <c r="K666" s="1534"/>
      <c r="L666" s="1533"/>
    </row>
    <row r="667" spans="2:12" s="1342" customFormat="1" ht="14.5">
      <c r="B667" s="1488"/>
      <c r="D667" s="1533"/>
      <c r="E667" s="1533"/>
      <c r="F667" s="1534"/>
      <c r="G667" s="1534"/>
      <c r="H667" s="1534"/>
      <c r="I667" s="1534"/>
      <c r="J667" s="1534"/>
      <c r="K667" s="1534"/>
      <c r="L667" s="1533"/>
    </row>
    <row r="668" spans="2:12" s="1342" customFormat="1" ht="14.5">
      <c r="B668" s="1488"/>
      <c r="D668" s="1533"/>
      <c r="E668" s="1533"/>
      <c r="F668" s="1534"/>
      <c r="G668" s="1534"/>
      <c r="H668" s="1534"/>
      <c r="I668" s="1534"/>
      <c r="J668" s="1534"/>
      <c r="K668" s="1534"/>
      <c r="L668" s="1533"/>
    </row>
    <row r="669" spans="2:12" s="1342" customFormat="1" ht="14.5">
      <c r="B669" s="1488"/>
      <c r="D669" s="1533"/>
      <c r="E669" s="1533"/>
      <c r="F669" s="1534"/>
      <c r="G669" s="1534"/>
      <c r="H669" s="1534"/>
      <c r="I669" s="1534"/>
      <c r="J669" s="1534"/>
      <c r="K669" s="1534"/>
      <c r="L669" s="1533"/>
    </row>
    <row r="670" spans="2:12" s="1342" customFormat="1" ht="14.5">
      <c r="B670" s="1488"/>
      <c r="D670" s="1533"/>
      <c r="E670" s="1533"/>
      <c r="F670" s="1534"/>
      <c r="G670" s="1534"/>
      <c r="H670" s="1534"/>
      <c r="I670" s="1534"/>
      <c r="J670" s="1534"/>
      <c r="K670" s="1534"/>
      <c r="L670" s="1533"/>
    </row>
    <row r="671" spans="2:12" s="1342" customFormat="1" ht="14.5">
      <c r="B671" s="1488"/>
      <c r="D671" s="1533"/>
      <c r="E671" s="1533"/>
      <c r="F671" s="1534"/>
      <c r="G671" s="1534"/>
      <c r="H671" s="1534"/>
      <c r="I671" s="1534"/>
      <c r="J671" s="1534"/>
      <c r="K671" s="1534"/>
      <c r="L671" s="1533"/>
    </row>
    <row r="672" spans="2:12" s="1342" customFormat="1" ht="14.5">
      <c r="B672" s="1488"/>
      <c r="D672" s="1533"/>
      <c r="E672" s="1533"/>
      <c r="F672" s="1534"/>
      <c r="G672" s="1534"/>
      <c r="H672" s="1534"/>
      <c r="I672" s="1534"/>
      <c r="J672" s="1534"/>
      <c r="K672" s="1534"/>
      <c r="L672" s="1533"/>
    </row>
    <row r="673" spans="2:12" s="1342" customFormat="1" ht="14.5">
      <c r="B673" s="1488"/>
      <c r="D673" s="1533"/>
      <c r="E673" s="1533"/>
      <c r="F673" s="1534"/>
      <c r="G673" s="1534"/>
      <c r="H673" s="1534"/>
      <c r="I673" s="1534"/>
      <c r="J673" s="1534"/>
      <c r="K673" s="1534"/>
      <c r="L673" s="1533"/>
    </row>
    <row r="674" spans="2:12" s="1342" customFormat="1" ht="14.5">
      <c r="B674" s="1488"/>
      <c r="D674" s="1533"/>
      <c r="E674" s="1533"/>
      <c r="F674" s="1534"/>
      <c r="G674" s="1534"/>
      <c r="H674" s="1534"/>
      <c r="I674" s="1534"/>
      <c r="J674" s="1534"/>
      <c r="K674" s="1534"/>
      <c r="L674" s="1533"/>
    </row>
    <row r="675" spans="2:12" s="1342" customFormat="1" ht="14.5">
      <c r="B675" s="1488"/>
      <c r="D675" s="1533"/>
      <c r="E675" s="1533"/>
      <c r="F675" s="1534"/>
      <c r="G675" s="1534"/>
      <c r="H675" s="1534"/>
      <c r="I675" s="1534"/>
      <c r="J675" s="1534"/>
      <c r="K675" s="1534"/>
      <c r="L675" s="1533"/>
    </row>
    <row r="676" spans="2:12" s="1342" customFormat="1" ht="14.5">
      <c r="B676" s="1488"/>
      <c r="D676" s="1533"/>
      <c r="E676" s="1533"/>
      <c r="F676" s="1534"/>
      <c r="G676" s="1534"/>
      <c r="H676" s="1534"/>
      <c r="I676" s="1534"/>
      <c r="J676" s="1534"/>
      <c r="K676" s="1534"/>
      <c r="L676" s="1533"/>
    </row>
    <row r="677" spans="2:12" s="1342" customFormat="1" ht="14.5">
      <c r="B677" s="1488"/>
      <c r="D677" s="1533"/>
      <c r="E677" s="1533"/>
      <c r="F677" s="1534"/>
      <c r="G677" s="1534"/>
      <c r="H677" s="1534"/>
      <c r="I677" s="1534"/>
      <c r="J677" s="1534"/>
      <c r="K677" s="1534"/>
      <c r="L677" s="1533"/>
    </row>
    <row r="678" spans="2:12" s="1342" customFormat="1" ht="14.5">
      <c r="B678" s="1488"/>
      <c r="D678" s="1533"/>
      <c r="E678" s="1533"/>
      <c r="F678" s="1534"/>
      <c r="G678" s="1534"/>
      <c r="H678" s="1534"/>
      <c r="I678" s="1534"/>
      <c r="J678" s="1534"/>
      <c r="K678" s="1534"/>
      <c r="L678" s="1533"/>
    </row>
    <row r="679" spans="2:12" s="1342" customFormat="1" ht="14.5">
      <c r="B679" s="1488"/>
      <c r="D679" s="1533"/>
      <c r="E679" s="1533"/>
      <c r="F679" s="1534"/>
      <c r="G679" s="1534"/>
      <c r="H679" s="1534"/>
      <c r="I679" s="1534"/>
      <c r="J679" s="1534"/>
      <c r="K679" s="1534"/>
      <c r="L679" s="1533"/>
    </row>
    <row r="680" spans="2:12" s="1342" customFormat="1" ht="14.5">
      <c r="B680" s="1488"/>
      <c r="D680" s="1533"/>
      <c r="E680" s="1533"/>
      <c r="F680" s="1534"/>
      <c r="G680" s="1534"/>
      <c r="H680" s="1534"/>
      <c r="I680" s="1534"/>
      <c r="J680" s="1534"/>
      <c r="K680" s="1534"/>
      <c r="L680" s="1533"/>
    </row>
    <row r="681" spans="2:12" s="1342" customFormat="1" ht="14.5">
      <c r="B681" s="1488"/>
      <c r="D681" s="1533"/>
      <c r="E681" s="1533"/>
      <c r="F681" s="1534"/>
      <c r="G681" s="1534"/>
      <c r="H681" s="1534"/>
      <c r="I681" s="1534"/>
      <c r="J681" s="1534"/>
      <c r="K681" s="1534"/>
      <c r="L681" s="1533"/>
    </row>
    <row r="682" spans="2:12" s="1342" customFormat="1" ht="14.5">
      <c r="B682" s="1488"/>
      <c r="D682" s="1533"/>
      <c r="E682" s="1533"/>
      <c r="F682" s="1534"/>
      <c r="G682" s="1534"/>
      <c r="H682" s="1534"/>
      <c r="I682" s="1534"/>
      <c r="J682" s="1534"/>
      <c r="K682" s="1534"/>
      <c r="L682" s="1533"/>
    </row>
    <row r="683" spans="2:12" s="1342" customFormat="1" ht="14.5">
      <c r="B683" s="1488"/>
      <c r="D683" s="1533"/>
      <c r="E683" s="1533"/>
      <c r="F683" s="1534"/>
      <c r="G683" s="1534"/>
      <c r="H683" s="1534"/>
      <c r="I683" s="1534"/>
      <c r="J683" s="1534"/>
      <c r="K683" s="1534"/>
      <c r="L683" s="1533"/>
    </row>
    <row r="684" spans="2:12" s="1342" customFormat="1" ht="14.5">
      <c r="B684" s="1488"/>
      <c r="D684" s="1533"/>
      <c r="E684" s="1533"/>
      <c r="F684" s="1534"/>
      <c r="G684" s="1534"/>
      <c r="H684" s="1534"/>
      <c r="I684" s="1534"/>
      <c r="J684" s="1534"/>
      <c r="K684" s="1534"/>
      <c r="L684" s="1533"/>
    </row>
    <row r="685" spans="2:12" s="1342" customFormat="1" ht="14.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abSelected="1" zoomScale="80" zoomScaleNormal="80" zoomScaleSheetLayoutView="100" workbookViewId="0">
      <selection activeCell="E11" sqref="E1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SES</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SES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4" t="s">
        <v>137</v>
      </c>
      <c r="C5" s="2393" t="s">
        <v>138</v>
      </c>
      <c r="D5" s="2393" t="s">
        <v>139</v>
      </c>
      <c r="E5" s="2393" t="s">
        <v>140</v>
      </c>
      <c r="F5" s="2397" t="s">
        <v>141</v>
      </c>
      <c r="G5" s="2393" t="s">
        <v>142</v>
      </c>
      <c r="H5" s="272" t="s">
        <v>143</v>
      </c>
      <c r="I5" s="272" t="s">
        <v>5166</v>
      </c>
      <c r="J5" s="273"/>
      <c r="K5" s="2393" t="s">
        <v>144</v>
      </c>
      <c r="L5" s="15"/>
      <c r="M5" s="2393" t="s">
        <v>145</v>
      </c>
      <c r="N5" s="2393" t="s">
        <v>146</v>
      </c>
      <c r="O5" s="279"/>
      <c r="P5" s="279"/>
      <c r="Q5" s="279"/>
      <c r="R5" s="1345"/>
      <c r="S5" s="1345"/>
      <c r="T5" s="1345"/>
      <c r="U5" s="1346"/>
      <c r="V5" s="1345" t="s">
        <v>145</v>
      </c>
      <c r="W5" s="1345"/>
      <c r="X5" s="1345"/>
      <c r="Y5" s="1345"/>
      <c r="Z5" s="1345"/>
      <c r="AA5" s="1346"/>
      <c r="AB5" s="1345"/>
      <c r="AC5" s="1345"/>
      <c r="AD5" s="1345"/>
      <c r="AE5" s="1345"/>
      <c r="AF5" s="1346"/>
      <c r="AG5" s="1347"/>
      <c r="AH5" s="2394" t="s">
        <v>137</v>
      </c>
      <c r="AI5" s="2393" t="s">
        <v>138</v>
      </c>
      <c r="AJ5" s="2393" t="s">
        <v>139</v>
      </c>
      <c r="AK5" s="2393" t="s">
        <v>140</v>
      </c>
      <c r="AL5" s="2397" t="s">
        <v>141</v>
      </c>
      <c r="AM5" s="2393" t="s">
        <v>142</v>
      </c>
      <c r="AN5" s="272" t="s">
        <v>147</v>
      </c>
      <c r="AO5" s="272" t="s">
        <v>5166</v>
      </c>
    </row>
    <row r="6" spans="2:41" s="9" customFormat="1" ht="15.5">
      <c r="B6" s="2395"/>
      <c r="C6" s="2396"/>
      <c r="D6" s="2396"/>
      <c r="E6" s="2396"/>
      <c r="F6" s="2398"/>
      <c r="G6" s="2396"/>
      <c r="H6" s="1285" t="s">
        <v>148</v>
      </c>
      <c r="I6" s="1285" t="s">
        <v>148</v>
      </c>
      <c r="J6" s="273"/>
      <c r="K6" s="2393"/>
      <c r="L6" s="15"/>
      <c r="M6" s="2393"/>
      <c r="N6" s="2393"/>
      <c r="O6" s="279"/>
      <c r="P6" s="279"/>
      <c r="Q6" s="279"/>
      <c r="R6" s="1345"/>
      <c r="S6" s="1345"/>
      <c r="T6" s="1345"/>
      <c r="U6" s="1346"/>
      <c r="V6" s="320" t="s">
        <v>149</v>
      </c>
      <c r="W6" s="1345"/>
      <c r="X6" s="1345"/>
      <c r="Y6" s="1345"/>
      <c r="Z6" s="1345"/>
      <c r="AA6" s="1346"/>
      <c r="AB6" s="320" t="s">
        <v>150</v>
      </c>
      <c r="AC6" s="1345"/>
      <c r="AD6" s="320" t="s">
        <v>151</v>
      </c>
      <c r="AE6" s="1345"/>
      <c r="AF6" s="1346"/>
      <c r="AG6" s="1347"/>
      <c r="AH6" s="2395"/>
      <c r="AI6" s="2396"/>
      <c r="AJ6" s="2396"/>
      <c r="AK6" s="2396"/>
      <c r="AL6" s="2398"/>
      <c r="AM6" s="2396"/>
      <c r="AN6" s="1285" t="s">
        <v>148</v>
      </c>
      <c r="AO6" s="1285" t="s">
        <v>148</v>
      </c>
    </row>
    <row r="7" spans="2:41" s="9" customFormat="1" ht="15.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4" customHeight="1">
      <c r="B9" s="282" t="s">
        <v>111</v>
      </c>
      <c r="C9" s="283" t="str">
        <f>IF($K$3="Select company","",VLOOKUP($R$1,C_WQC,2,0))</f>
        <v>PR19SES_A.4</v>
      </c>
      <c r="D9" s="283" t="str">
        <f>IF($K$3="Select company","",INDEX(App1bdata,MATCH($C9,App1bIDnrs,0),20))</f>
        <v>number</v>
      </c>
      <c r="E9" s="283">
        <f>IF($K$3="Select company","",INDEX(App1bdata,MATCH($C9,App1bIDnrs,0),22))</f>
        <v>2</v>
      </c>
      <c r="F9" s="2310">
        <v>0</v>
      </c>
      <c r="G9" s="2277" t="s">
        <v>161</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3">
        <v>-2.8000000000000021E-2</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PR19SES_A.4</v>
      </c>
      <c r="AJ9" s="282" t="str">
        <f t="shared" si="2"/>
        <v>number</v>
      </c>
      <c r="AK9" s="282">
        <f t="shared" si="2"/>
        <v>2</v>
      </c>
      <c r="AL9" s="1429" t="s">
        <v>5313</v>
      </c>
      <c r="AM9" s="1430" t="s">
        <v>5314</v>
      </c>
      <c r="AN9" s="1431" t="s">
        <v>5315</v>
      </c>
      <c r="AO9" s="1432" t="s">
        <v>5316</v>
      </c>
    </row>
    <row r="10" spans="2:41" s="9" customFormat="1" ht="28.4" customHeight="1">
      <c r="B10" s="282" t="s">
        <v>112</v>
      </c>
      <c r="C10" s="284" t="str">
        <f>IF($K$3="Select company","",VLOOKUP($R$1,C_WSI,2,0))</f>
        <v>PR19SES_A.1</v>
      </c>
      <c r="D10" s="284" t="str">
        <f>IF($K$3="Select company","",INDEX(App1bdata,MATCH($C10,App1bIDnrs,0),20))</f>
        <v>hh:mm:ss</v>
      </c>
      <c r="E10" s="284">
        <f>IF($K$3="Select company","",INDEX(App1bdata,MATCH($C10,App1bIDnrs,0),22))</f>
        <v>0</v>
      </c>
      <c r="F10" s="2157">
        <f>'3F'!$H$25</f>
        <v>1.8514506564393345E-2</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-1.4499833333333334</v>
      </c>
      <c r="I10" s="2293">
        <v>-0.72593405251473009</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PR19SES_A.1</v>
      </c>
      <c r="AJ10" s="282" t="str">
        <f t="shared" ref="AJ10:AJ16" si="7">D10</f>
        <v>hh:mm:ss</v>
      </c>
      <c r="AK10" s="282">
        <f t="shared" ref="AK10:AK16" si="8">E10</f>
        <v>0</v>
      </c>
      <c r="AL10" s="2023" t="s">
        <v>5204</v>
      </c>
      <c r="AM10" s="1430" t="s">
        <v>5317</v>
      </c>
      <c r="AN10" s="1433" t="s">
        <v>5318</v>
      </c>
      <c r="AO10" s="1432" t="s">
        <v>5319</v>
      </c>
    </row>
    <row r="11" spans="2:41" s="9" customFormat="1" ht="28.4" customHeight="1">
      <c r="B11" s="282" t="str">
        <f>IF($R$1="NES","Leakage NW region",IF($R$1="SSC","Leakage South Staffs region","Leakage"))</f>
        <v>Leakage</v>
      </c>
      <c r="C11" s="284" t="str">
        <f>IF($K$3="Select company","",VLOOKUP($R$1,C_Leakage,2,0))</f>
        <v>PR19SES_C.4</v>
      </c>
      <c r="D11" s="284" t="str">
        <f>IF($K$3="Select company","",INDEX(App1bdata,MATCH($C11,App1bIDnrs,0),20))</f>
        <v>%</v>
      </c>
      <c r="E11" s="284">
        <f>IF($K$3="Select company","",INDEX(App1bdata,MATCH($C11,App1bIDnrs,0),22))</f>
        <v>1</v>
      </c>
      <c r="F11" s="1805">
        <f>IF(OR($R$1="NES",$R$1="SSC"),'3F.1'!$N$18,'3F'!$N$18)</f>
        <v>15.873015873015872</v>
      </c>
      <c r="G11" s="2277" t="s">
        <v>161</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v>
      </c>
      <c r="I11" s="2293">
        <v>1.2456</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PR19SES_C.4</v>
      </c>
      <c r="AJ11" s="282" t="str">
        <f t="shared" si="7"/>
        <v>%</v>
      </c>
      <c r="AK11" s="282">
        <f t="shared" si="8"/>
        <v>1</v>
      </c>
      <c r="AL11" s="2024" t="s">
        <v>5320</v>
      </c>
      <c r="AM11" s="1430" t="s">
        <v>5321</v>
      </c>
      <c r="AN11" s="1433" t="s">
        <v>5322</v>
      </c>
      <c r="AO11" s="1432" t="s">
        <v>5323</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3"/>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5573</v>
      </c>
      <c r="AM12" s="1430" t="s">
        <v>5324</v>
      </c>
      <c r="AN12" s="1433" t="s">
        <v>5325</v>
      </c>
      <c r="AO12" s="1432" t="s">
        <v>5326</v>
      </c>
    </row>
    <row r="13" spans="2:41" s="9" customFormat="1" ht="28.4" customHeight="1">
      <c r="B13" s="1931" t="str">
        <f>IF($R$1="SSC","Per capita consumption South Staffs region","Per capita consumption")</f>
        <v>Per capita consumption</v>
      </c>
      <c r="C13" s="284" t="str">
        <f>IF($K$3="Select company","",VLOOKUP($R$1,C_PCC,2,0))</f>
        <v>PR19SES_E.1</v>
      </c>
      <c r="D13" s="284" t="str">
        <f>IF($K$3="Select company","",INDEX(App1bdata,MATCH($C13,App1bIDnrs,0),20))</f>
        <v xml:space="preserve">% </v>
      </c>
      <c r="E13" s="284">
        <f>IF($K$3="Select company","",INDEX(App1bdata,MATCH($C13,App1bIDnrs,0),22))</f>
        <v>1</v>
      </c>
      <c r="F13" s="1805">
        <f>IF($R$1="SSC",'3F.1'!$N$19,'3F'!$N$19)</f>
        <v>0.7382550335570448</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-0.76559999999999995</v>
      </c>
      <c r="I13" s="2293">
        <v>-1.3815999999999999</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PR19SES_E.1</v>
      </c>
      <c r="AJ13" s="282" t="str">
        <f t="shared" si="7"/>
        <v xml:space="preserve">% </v>
      </c>
      <c r="AK13" s="282">
        <f t="shared" si="8"/>
        <v>1</v>
      </c>
      <c r="AL13" s="2024" t="s">
        <v>5327</v>
      </c>
      <c r="AM13" s="1430" t="s">
        <v>5328</v>
      </c>
      <c r="AN13" s="1433" t="s">
        <v>5329</v>
      </c>
      <c r="AO13" s="1432" t="s">
        <v>5330</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5572</v>
      </c>
      <c r="AM14" s="1430" t="s">
        <v>5331</v>
      </c>
      <c r="AN14" s="1433" t="s">
        <v>5332</v>
      </c>
      <c r="AO14" s="1432" t="s">
        <v>5333</v>
      </c>
    </row>
    <row r="15" spans="2:41" s="9" customFormat="1" ht="28.4" customHeight="1">
      <c r="B15" s="282" t="s">
        <v>115</v>
      </c>
      <c r="C15" s="284" t="str">
        <f>IF($K$3="Select company","",VLOOKUP($R$1,C_MRepair,2,0))</f>
        <v>PR19SES_A.2</v>
      </c>
      <c r="D15" s="284" t="str">
        <f>IF($K$3="Select company","",INDEX(App1bdata,MATCH($C15,App1bIDnrs,0),20))</f>
        <v>number</v>
      </c>
      <c r="E15" s="284">
        <f>IF($K$3="Select company","",INDEX(App1bdata,MATCH($C15,App1bIDnrs,0),22))</f>
        <v>1</v>
      </c>
      <c r="F15" s="1805">
        <f>'3F'!$G$11</f>
        <v>61.868543535021004</v>
      </c>
      <c r="G15" s="2277" t="s">
        <v>155</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-6.3799999999999968E-2</v>
      </c>
      <c r="I15" s="2293">
        <v>-0.98119999999999985</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PR19SES_A.2</v>
      </c>
      <c r="AJ15" s="282" t="str">
        <f t="shared" si="7"/>
        <v>number</v>
      </c>
      <c r="AK15" s="282">
        <f t="shared" si="8"/>
        <v>1</v>
      </c>
      <c r="AL15" s="2024" t="s">
        <v>5334</v>
      </c>
      <c r="AM15" s="1430" t="s">
        <v>5335</v>
      </c>
      <c r="AN15" s="1433" t="s">
        <v>5336</v>
      </c>
      <c r="AO15" s="1432" t="s">
        <v>5337</v>
      </c>
    </row>
    <row r="16" spans="2:41" s="9" customFormat="1" ht="28.4" customHeight="1">
      <c r="B16" s="282" t="s">
        <v>116</v>
      </c>
      <c r="C16" s="284" t="str">
        <f>IF($K$3="Select company","",VLOOKUP($R$1,C_UOutage,2,0))</f>
        <v>PR19SES_C.3</v>
      </c>
      <c r="D16" s="284" t="str">
        <f>IF($K$3="Select company","",INDEX(App1bdata,MATCH($C16,App1bIDnrs,0),20))</f>
        <v>%</v>
      </c>
      <c r="E16" s="284">
        <f>IF($K$3="Select company","",INDEX(App1bdata,MATCH($C16,App1bIDnrs,0),22))</f>
        <v>2</v>
      </c>
      <c r="F16" s="2158">
        <f>'3F'!$E$40*100</f>
        <v>4.0073679901760126</v>
      </c>
      <c r="G16" s="2277" t="s">
        <v>155</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-0.29391999999999996</v>
      </c>
      <c r="I16" s="2293">
        <v>-0.29391999999999996</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PR19SES_C.3</v>
      </c>
      <c r="AJ16" s="282" t="str">
        <f t="shared" si="7"/>
        <v>%</v>
      </c>
      <c r="AK16" s="282">
        <f t="shared" si="8"/>
        <v>2</v>
      </c>
      <c r="AL16" s="2025" t="s">
        <v>5338</v>
      </c>
      <c r="AM16" s="1430" t="s">
        <v>5339</v>
      </c>
      <c r="AN16" s="1433" t="s">
        <v>5340</v>
      </c>
      <c r="AO16" s="1432" t="s">
        <v>5341</v>
      </c>
    </row>
    <row r="17" spans="2:46" s="9" customFormat="1" ht="14.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Customer concerns about their water (taste, odour and discolouration contacts)</v>
      </c>
      <c r="C19" s="287" t="str">
        <f>IF($K$3="Select company","",IF(HLOOKUP($R$1,BW_FIN_All,'PC lists'!$B33,0)="","",HLOOKUP($R$1,BW_FIN_All,'PC lists'!$B33,0)))</f>
        <v>PR19SES_A.3</v>
      </c>
      <c r="D19" s="287" t="str">
        <f t="shared" ref="D19:D38" si="10">IF($C19="","",INDEX(App1data,MATCH($C19,App1IDnrs,0),20))</f>
        <v>nr</v>
      </c>
      <c r="E19" s="287">
        <f t="shared" ref="E19:E38" si="11">IF($C19="","",INDEX(App1data,MATCH($C19,App1IDnrs,0),22))</f>
        <v>2</v>
      </c>
      <c r="F19" s="2311">
        <v>0.57999999999999996</v>
      </c>
      <c r="G19" s="2277"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-6.3679999999999973E-2</v>
      </c>
      <c r="I19" s="2294">
        <v>-0.33431999999999995</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Customer concerns about their water (taste, odour and discolouration contacts)</v>
      </c>
      <c r="AI19" s="285" t="str">
        <f t="shared" ref="AI19:AK19" si="17">C19</f>
        <v>PR19SES_A.3</v>
      </c>
      <c r="AJ19" s="285" t="str">
        <f t="shared" si="17"/>
        <v>nr</v>
      </c>
      <c r="AK19" s="285">
        <f t="shared" si="17"/>
        <v>2</v>
      </c>
      <c r="AL19" s="1430" t="s">
        <v>5342</v>
      </c>
      <c r="AM19" s="1430" t="s">
        <v>5343</v>
      </c>
      <c r="AN19" s="1433" t="s">
        <v>5344</v>
      </c>
      <c r="AO19" s="1435" t="s">
        <v>5345</v>
      </c>
      <c r="AQ19" s="9"/>
      <c r="AR19" s="9"/>
      <c r="AS19" s="9"/>
      <c r="AT19" s="9"/>
    </row>
    <row r="20" spans="2:46" s="16" customFormat="1" ht="28.5" customHeight="1">
      <c r="B20" s="1931" t="str">
        <f t="shared" si="9"/>
        <v>Supporting customers in financial hardship</v>
      </c>
      <c r="C20" s="287" t="str">
        <f>IF($K$3="Select company","",IF(HLOOKUP($R$1,BW_FIN_All,'PC lists'!$B34,0)="","",HLOOKUP($R$1,BW_FIN_All,'PC lists'!$B34,0)))</f>
        <v>PR19SES_B.1</v>
      </c>
      <c r="D20" s="287" t="str">
        <f t="shared" si="10"/>
        <v>nr</v>
      </c>
      <c r="E20" s="287">
        <f t="shared" si="11"/>
        <v>0</v>
      </c>
      <c r="F20" s="2311">
        <v>25379</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3">
        <v>0</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Supporting customers in financial hardship</v>
      </c>
      <c r="AI20" s="285" t="str">
        <f t="shared" ref="AI20:AI38" si="21">C20</f>
        <v>PR19SES_B.1</v>
      </c>
      <c r="AJ20" s="285" t="str">
        <f t="shared" ref="AJ20:AJ38" si="22">D20</f>
        <v>nr</v>
      </c>
      <c r="AK20" s="285">
        <f t="shared" ref="AK20:AK38" si="23">E20</f>
        <v>0</v>
      </c>
      <c r="AL20" s="1430" t="s">
        <v>5346</v>
      </c>
      <c r="AM20" s="1430" t="s">
        <v>5347</v>
      </c>
      <c r="AN20" s="1433" t="s">
        <v>5348</v>
      </c>
      <c r="AO20" s="1432" t="s">
        <v>5349</v>
      </c>
      <c r="AQ20" s="9"/>
      <c r="AR20" s="9"/>
      <c r="AS20" s="9"/>
      <c r="AT20" s="9"/>
    </row>
    <row r="21" spans="2:46" s="16" customFormat="1" ht="28.5" customHeight="1">
      <c r="B21" s="1931" t="str">
        <f t="shared" si="9"/>
        <v>Void properties</v>
      </c>
      <c r="C21" s="287" t="str">
        <f>IF($K$3="Select company","",IF(HLOOKUP($R$1,BW_FIN_All,'PC lists'!$B35,0)="","",HLOOKUP($R$1,BW_FIN_All,'PC lists'!$B35,0)))</f>
        <v>PR19SES_B.4</v>
      </c>
      <c r="D21" s="287" t="str">
        <f t="shared" si="10"/>
        <v>%</v>
      </c>
      <c r="E21" s="287">
        <f t="shared" si="11"/>
        <v>2</v>
      </c>
      <c r="F21" s="2311">
        <v>1.99</v>
      </c>
      <c r="G21" s="2277"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5.0610000000000044E-2</v>
      </c>
      <c r="I21" s="2293">
        <v>-0.22412999999999997</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Void properties</v>
      </c>
      <c r="AI21" s="285" t="str">
        <f t="shared" si="21"/>
        <v>PR19SES_B.4</v>
      </c>
      <c r="AJ21" s="285" t="str">
        <f t="shared" si="22"/>
        <v>%</v>
      </c>
      <c r="AK21" s="285">
        <f t="shared" si="23"/>
        <v>2</v>
      </c>
      <c r="AL21" s="1436" t="s">
        <v>5350</v>
      </c>
      <c r="AM21" s="1430" t="s">
        <v>5351</v>
      </c>
      <c r="AN21" s="1433" t="s">
        <v>5352</v>
      </c>
      <c r="AO21" s="1432" t="s">
        <v>5353</v>
      </c>
      <c r="AQ21" s="9"/>
      <c r="AR21" s="9"/>
      <c r="AS21" s="9"/>
      <c r="AT21" s="9"/>
    </row>
    <row r="22" spans="2:46" s="16" customFormat="1" ht="28.5" customHeight="1">
      <c r="B22" s="1931" t="str">
        <f t="shared" si="9"/>
        <v>First contact resolution</v>
      </c>
      <c r="C22" s="287" t="str">
        <f>IF($K$3="Select company","",IF(HLOOKUP($R$1,BW_FIN_All,'PC lists'!$B36,0)="","",HLOOKUP($R$1,BW_FIN_All,'PC lists'!$B36,0)))</f>
        <v>PR19SES_D.1</v>
      </c>
      <c r="D22" s="287" t="str">
        <f t="shared" si="10"/>
        <v>%</v>
      </c>
      <c r="E22" s="287">
        <f t="shared" si="11"/>
        <v>1</v>
      </c>
      <c r="F22" s="2311">
        <v>90.68</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3">
        <v>-4.5654000000000189E-3</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First contact resolution</v>
      </c>
      <c r="AI22" s="285" t="str">
        <f t="shared" si="21"/>
        <v>PR19SES_D.1</v>
      </c>
      <c r="AJ22" s="285" t="str">
        <f t="shared" si="22"/>
        <v>%</v>
      </c>
      <c r="AK22" s="285">
        <f t="shared" si="23"/>
        <v>1</v>
      </c>
      <c r="AL22" s="1430" t="s">
        <v>5354</v>
      </c>
      <c r="AM22" s="1430" t="s">
        <v>5355</v>
      </c>
      <c r="AN22" s="1433" t="s">
        <v>5356</v>
      </c>
      <c r="AO22" s="1432" t="s">
        <v>5357</v>
      </c>
      <c r="AQ22" s="9"/>
      <c r="AR22" s="9"/>
      <c r="AS22" s="9"/>
      <c r="AT22" s="9"/>
    </row>
    <row r="23" spans="2:46" s="16" customFormat="1" ht="28.5" customHeight="1">
      <c r="B23" s="1931" t="str">
        <f t="shared" si="9"/>
        <v>Greenhouse gas emissions</v>
      </c>
      <c r="C23" s="287" t="str">
        <f>IF($K$3="Select company","",IF(HLOOKUP($R$1,BW_FIN_All,'PC lists'!$B37,0)="","",HLOOKUP($R$1,BW_FIN_All,'PC lists'!$B37,0)))</f>
        <v>PR19SES_E.2</v>
      </c>
      <c r="D23" s="287" t="str">
        <f t="shared" si="10"/>
        <v>nr</v>
      </c>
      <c r="E23" s="287">
        <f t="shared" si="11"/>
        <v>0</v>
      </c>
      <c r="F23" s="2311">
        <v>38</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0</v>
      </c>
      <c r="I23" s="2293">
        <v>0</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Greenhouse gas emissions</v>
      </c>
      <c r="AI23" s="285" t="str">
        <f t="shared" si="21"/>
        <v>PR19SES_E.2</v>
      </c>
      <c r="AJ23" s="285" t="str">
        <f t="shared" si="22"/>
        <v>nr</v>
      </c>
      <c r="AK23" s="285">
        <f t="shared" si="23"/>
        <v>0</v>
      </c>
      <c r="AL23" s="1430" t="s">
        <v>5358</v>
      </c>
      <c r="AM23" s="1430" t="s">
        <v>5359</v>
      </c>
      <c r="AN23" s="1433" t="s">
        <v>5360</v>
      </c>
      <c r="AO23" s="1432" t="s">
        <v>5361</v>
      </c>
      <c r="AQ23" s="9"/>
      <c r="AR23" s="9"/>
      <c r="AS23" s="9"/>
      <c r="AT23" s="9"/>
    </row>
    <row r="24" spans="2:46" s="16" customFormat="1" ht="28.5" customHeight="1">
      <c r="B24" s="1932" t="str">
        <f t="shared" si="9"/>
        <v>River based improvement - delivery of WINEP</v>
      </c>
      <c r="C24" s="1919" t="str">
        <f>IF($K$3="Select company","",IF(HLOOKUP($R$1,BW_FIN_All,'PC lists'!$B38,0)="","",HLOOKUP($R$1,BW_FIN_All,'PC lists'!$B38,0)))</f>
        <v>PR19SES_E.6</v>
      </c>
      <c r="D24" s="1919" t="str">
        <f t="shared" si="10"/>
        <v>nr</v>
      </c>
      <c r="E24" s="1919">
        <f t="shared" si="11"/>
        <v>0</v>
      </c>
      <c r="F24" s="2277">
        <v>17</v>
      </c>
      <c r="G24" s="2277" t="s">
        <v>155</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-2.9750000000000002E-2</v>
      </c>
      <c r="I24" s="2293">
        <v>-3.8250000000000006E-2</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River based improvement - delivery of WINEP</v>
      </c>
      <c r="AI24" s="285" t="str">
        <f t="shared" si="21"/>
        <v>PR19SES_E.6</v>
      </c>
      <c r="AJ24" s="285" t="str">
        <f t="shared" si="22"/>
        <v>nr</v>
      </c>
      <c r="AK24" s="285">
        <f t="shared" si="23"/>
        <v>0</v>
      </c>
      <c r="AL24" s="1430" t="s">
        <v>5362</v>
      </c>
      <c r="AM24" s="1430" t="s">
        <v>5363</v>
      </c>
      <c r="AN24" s="1433" t="s">
        <v>5364</v>
      </c>
      <c r="AO24" s="1432" t="s">
        <v>5365</v>
      </c>
      <c r="AQ24" s="9"/>
      <c r="AR24" s="9"/>
      <c r="AS24" s="9"/>
      <c r="AT24" s="9"/>
    </row>
    <row r="25" spans="2:46" s="16" customFormat="1" ht="28.5" customHeight="1">
      <c r="B25" s="1932" t="str">
        <f t="shared" si="9"/>
        <v>Water Softening</v>
      </c>
      <c r="C25" s="1919" t="str">
        <f>IF($K$3="Select company","",IF(HLOOKUP($R$1,BW_FIN_All,'PC lists'!$B39,0)="","",HLOOKUP($R$1,BW_FIN_All,'PC lists'!$B39,0)))</f>
        <v>PR19SES_A.5</v>
      </c>
      <c r="D25" s="1919" t="str">
        <f t="shared" si="10"/>
        <v>nr</v>
      </c>
      <c r="E25" s="1919">
        <f t="shared" si="11"/>
        <v>1</v>
      </c>
      <c r="F25" s="2311">
        <v>10.4</v>
      </c>
      <c r="G25" s="2277" t="s">
        <v>155</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-0.29327999999999999</v>
      </c>
      <c r="I25" s="2293">
        <v>-0.81215999999999988</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Water Softening</v>
      </c>
      <c r="AI25" s="285" t="str">
        <f t="shared" si="21"/>
        <v>PR19SES_A.5</v>
      </c>
      <c r="AJ25" s="285" t="str">
        <f t="shared" si="22"/>
        <v>nr</v>
      </c>
      <c r="AK25" s="285">
        <f t="shared" si="23"/>
        <v>1</v>
      </c>
      <c r="AL25" s="1430" t="s">
        <v>5366</v>
      </c>
      <c r="AM25" s="1430" t="s">
        <v>5367</v>
      </c>
      <c r="AN25" s="1433" t="s">
        <v>5368</v>
      </c>
      <c r="AO25" s="1432" t="s">
        <v>5369</v>
      </c>
      <c r="AQ25" s="9"/>
      <c r="AR25" s="9"/>
      <c r="AS25" s="9"/>
      <c r="AT25" s="9"/>
    </row>
    <row r="26" spans="2:46" s="16" customFormat="1" ht="28.5" customHeight="1">
      <c r="B26" s="1932" t="str">
        <f t="shared" si="9"/>
        <v>Risk of supply failures</v>
      </c>
      <c r="C26" s="1919" t="str">
        <f>IF($K$3="Select company","",IF(HLOOKUP($R$1,BW_FIN_All,'PC lists'!$B40,0)="","",HLOOKUP($R$1,BW_FIN_All,'PC lists'!$B40,0)))</f>
        <v>PR19SES_C.2</v>
      </c>
      <c r="D26" s="1919" t="str">
        <f t="shared" si="10"/>
        <v>%</v>
      </c>
      <c r="E26" s="1919">
        <f t="shared" si="11"/>
        <v>0</v>
      </c>
      <c r="F26" s="2277">
        <v>91</v>
      </c>
      <c r="G26" s="2277" t="s">
        <v>155</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-5.7600000000000005E-2</v>
      </c>
      <c r="I26" s="2293">
        <v>-0.16640000000000002</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Risk of supply failures</v>
      </c>
      <c r="AI26" s="285" t="str">
        <f t="shared" si="21"/>
        <v>PR19SES_C.2</v>
      </c>
      <c r="AJ26" s="285" t="str">
        <f t="shared" si="22"/>
        <v>%</v>
      </c>
      <c r="AK26" s="285">
        <f t="shared" si="23"/>
        <v>0</v>
      </c>
      <c r="AL26" s="1430" t="s">
        <v>5370</v>
      </c>
      <c r="AM26" s="1430" t="s">
        <v>5371</v>
      </c>
      <c r="AN26" s="1433" t="s">
        <v>5372</v>
      </c>
      <c r="AO26" s="1432" t="s">
        <v>5373</v>
      </c>
      <c r="AQ26" s="9"/>
      <c r="AR26" s="9"/>
      <c r="AS26" s="9"/>
      <c r="AT26" s="9"/>
    </row>
    <row r="27" spans="2:46" s="16" customFormat="1" ht="28.5" customHeight="1">
      <c r="B27" s="1932" t="str">
        <f t="shared" si="9"/>
        <v/>
      </c>
      <c r="C27" s="1919" t="str">
        <f>IF($K$3="Select company","",IF(HLOOKUP($R$1,BW_FIN_All,'PC lists'!$B41,0)="","",HLOOKUP($R$1,BW_FIN_All,'PC lists'!$B41,0)))</f>
        <v/>
      </c>
      <c r="D27" s="1919" t="str">
        <f t="shared" si="10"/>
        <v/>
      </c>
      <c r="E27" s="1919" t="str">
        <f t="shared" si="11"/>
        <v/>
      </c>
      <c r="F27" s="2278"/>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293"/>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
      </c>
      <c r="AI27" s="285" t="str">
        <f t="shared" si="21"/>
        <v/>
      </c>
      <c r="AJ27" s="285" t="str">
        <f t="shared" si="22"/>
        <v/>
      </c>
      <c r="AK27" s="285" t="str">
        <f t="shared" si="23"/>
        <v/>
      </c>
      <c r="AL27" s="1436" t="s">
        <v>5374</v>
      </c>
      <c r="AM27" s="1430" t="s">
        <v>5375</v>
      </c>
      <c r="AN27" s="1433" t="s">
        <v>5376</v>
      </c>
      <c r="AO27" s="1432" t="s">
        <v>5377</v>
      </c>
      <c r="AQ27" s="9"/>
      <c r="AR27" s="9"/>
      <c r="AS27" s="9"/>
      <c r="AT27" s="9"/>
    </row>
    <row r="28" spans="2:46" s="16" customFormat="1" ht="28.5" customHeight="1">
      <c r="B28" s="1918" t="str">
        <f t="shared" si="9"/>
        <v/>
      </c>
      <c r="C28" s="1919" t="str">
        <f>IF($K$3="Select company","",IF(HLOOKUP($R$1,BW_FIN_All,'PC lists'!$B42,0)="","",HLOOKUP($R$1,BW_FIN_All,'PC lists'!$B42,0)))</f>
        <v/>
      </c>
      <c r="D28" s="1919" t="str">
        <f t="shared" si="10"/>
        <v/>
      </c>
      <c r="E28" s="1919" t="str">
        <f t="shared" si="11"/>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293"/>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
      </c>
      <c r="AI28" s="285" t="str">
        <f t="shared" si="21"/>
        <v/>
      </c>
      <c r="AJ28" s="285" t="str">
        <f t="shared" si="22"/>
        <v/>
      </c>
      <c r="AK28" s="285" t="str">
        <f t="shared" si="23"/>
        <v/>
      </c>
      <c r="AL28" s="1430" t="s">
        <v>5378</v>
      </c>
      <c r="AM28" s="1430" t="s">
        <v>5379</v>
      </c>
      <c r="AN28" s="1433" t="s">
        <v>5380</v>
      </c>
      <c r="AO28" s="1432" t="s">
        <v>5381</v>
      </c>
      <c r="AQ28" s="9"/>
      <c r="AR28" s="9"/>
      <c r="AS28" s="9"/>
      <c r="AT28" s="9"/>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7"/>
      <c r="G29" s="2277"/>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3"/>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5382</v>
      </c>
      <c r="AM29" s="1430" t="s">
        <v>5383</v>
      </c>
      <c r="AN29" s="1433" t="s">
        <v>5384</v>
      </c>
      <c r="AO29" s="1432" t="s">
        <v>5385</v>
      </c>
      <c r="AQ29" s="9"/>
      <c r="AR29" s="9"/>
      <c r="AS29" s="9"/>
      <c r="AT29" s="9"/>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7"/>
      <c r="G30" s="2277"/>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3"/>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5386</v>
      </c>
      <c r="AM30" s="1430" t="s">
        <v>5387</v>
      </c>
      <c r="AN30" s="1433" t="s">
        <v>5388</v>
      </c>
      <c r="AO30" s="1432" t="s">
        <v>5389</v>
      </c>
      <c r="AQ30" s="9"/>
      <c r="AR30" s="9"/>
      <c r="AS30" s="9"/>
      <c r="AT30" s="9"/>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78"/>
      <c r="G31" s="2277"/>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3"/>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5390</v>
      </c>
      <c r="AM31" s="1430" t="s">
        <v>5391</v>
      </c>
      <c r="AN31" s="1433" t="s">
        <v>5392</v>
      </c>
      <c r="AO31" s="1432" t="s">
        <v>5393</v>
      </c>
      <c r="AQ31" s="9"/>
      <c r="AR31" s="9"/>
      <c r="AS31" s="9"/>
      <c r="AT31" s="9"/>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7"/>
      <c r="G32" s="2277"/>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3"/>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5394</v>
      </c>
      <c r="AM32" s="1430" t="s">
        <v>5395</v>
      </c>
      <c r="AN32" s="1433" t="s">
        <v>5396</v>
      </c>
      <c r="AO32" s="1432" t="s">
        <v>5397</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5398</v>
      </c>
      <c r="AM33" s="1430" t="s">
        <v>5399</v>
      </c>
      <c r="AN33" s="1433" t="s">
        <v>5400</v>
      </c>
      <c r="AO33" s="1432" t="s">
        <v>5401</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5402</v>
      </c>
      <c r="AM34" s="1430" t="s">
        <v>5403</v>
      </c>
      <c r="AN34" s="1433" t="s">
        <v>5404</v>
      </c>
      <c r="AO34" s="1432" t="s">
        <v>5405</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5406</v>
      </c>
      <c r="AM35" s="1430" t="s">
        <v>5407</v>
      </c>
      <c r="AN35" s="1433" t="s">
        <v>5408</v>
      </c>
      <c r="AO35" s="1432" t="s">
        <v>5409</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5410</v>
      </c>
      <c r="AM36" s="1430" t="s">
        <v>5411</v>
      </c>
      <c r="AN36" s="1433" t="s">
        <v>5412</v>
      </c>
      <c r="AO36" s="1432" t="s">
        <v>5413</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5414</v>
      </c>
      <c r="AM37" s="1430" t="s">
        <v>5415</v>
      </c>
      <c r="AN37" s="1433" t="s">
        <v>5416</v>
      </c>
      <c r="AO37" s="1432" t="s">
        <v>5417</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5418</v>
      </c>
      <c r="AM38" s="1430" t="s">
        <v>5419</v>
      </c>
      <c r="AN38" s="1433" t="s">
        <v>5420</v>
      </c>
      <c r="AO38" s="1432" t="s">
        <v>5421</v>
      </c>
    </row>
    <row r="39" spans="1:46" s="9" customFormat="1" ht="14.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5">
      <c r="A40" s="1345"/>
      <c r="B40" s="282" t="s">
        <v>187</v>
      </c>
      <c r="C40" s="341"/>
      <c r="D40" s="287" t="s">
        <v>188</v>
      </c>
      <c r="E40" s="287">
        <v>0</v>
      </c>
      <c r="F40" s="338"/>
      <c r="G40" s="2295">
        <f>IFERROR((COUNTIF($G$9:$G$38,"Yes")/(COUNTA($G$9:$G$38) - COUNTIF($G$9:$G$38,"-")))*100,"")</f>
        <v>42.857142857142854</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9" t="str">
        <f>B40</f>
        <v>Financial water performance commitments achieved</v>
      </c>
      <c r="AI40" s="341"/>
      <c r="AJ40" s="287" t="str">
        <f>D40</f>
        <v>%</v>
      </c>
      <c r="AK40" s="287"/>
      <c r="AL40" s="338"/>
      <c r="AM40" s="1437" t="s">
        <v>5422</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52</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5423</v>
      </c>
      <c r="AN41" s="339"/>
      <c r="AO41" s="340"/>
    </row>
    <row r="42" spans="1:46" s="9" customFormat="1" ht="14.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71"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5188</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election activeCell="P16" sqref="P16"/>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SES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0" t="s">
        <v>137</v>
      </c>
      <c r="C5" s="2399" t="s">
        <v>138</v>
      </c>
      <c r="D5" s="2399" t="s">
        <v>139</v>
      </c>
      <c r="E5" s="2399" t="s">
        <v>140</v>
      </c>
      <c r="F5" s="2402" t="s">
        <v>141</v>
      </c>
      <c r="G5" s="2399" t="s">
        <v>142</v>
      </c>
      <c r="H5" s="293" t="s">
        <v>143</v>
      </c>
      <c r="I5" s="293" t="s">
        <v>5166</v>
      </c>
      <c r="J5" s="274"/>
      <c r="K5" s="2399" t="s">
        <v>144</v>
      </c>
      <c r="L5" s="15"/>
      <c r="M5" s="2393" t="s">
        <v>145</v>
      </c>
      <c r="N5" s="2393"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5166</v>
      </c>
    </row>
    <row r="6" spans="2:41" s="9" customFormat="1" ht="16.399999999999999" customHeight="1">
      <c r="B6" s="2400"/>
      <c r="C6" s="2399"/>
      <c r="D6" s="2399"/>
      <c r="E6" s="2401"/>
      <c r="F6" s="2403"/>
      <c r="G6" s="2399"/>
      <c r="H6" s="1286" t="s">
        <v>148</v>
      </c>
      <c r="I6" s="1286" t="s">
        <v>148</v>
      </c>
      <c r="J6" s="274"/>
      <c r="K6" s="2399"/>
      <c r="L6" s="15"/>
      <c r="M6" s="2393"/>
      <c r="N6" s="2393"/>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15.5">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15.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7"/>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2"/>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5424</v>
      </c>
      <c r="AM9" s="1443" t="s">
        <v>5425</v>
      </c>
      <c r="AN9" s="1443" t="s">
        <v>5426</v>
      </c>
      <c r="AO9" s="1444" t="s">
        <v>5427</v>
      </c>
    </row>
    <row r="10" spans="2:41" s="9" customFormat="1" ht="15.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7"/>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2"/>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5428</v>
      </c>
      <c r="AM10" s="1443" t="s">
        <v>5429</v>
      </c>
      <c r="AN10" s="1443" t="s">
        <v>5430</v>
      </c>
      <c r="AO10" s="1444" t="s">
        <v>5431</v>
      </c>
    </row>
    <row r="11" spans="2:41" s="9" customFormat="1" ht="15.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7"/>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2"/>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5432</v>
      </c>
      <c r="AM11" s="1443" t="s">
        <v>5433</v>
      </c>
      <c r="AN11" s="1443" t="s">
        <v>5434</v>
      </c>
      <c r="AO11" s="1444" t="s">
        <v>5435</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10"/>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2"/>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5436</v>
      </c>
      <c r="AM12" s="1443" t="s">
        <v>5437</v>
      </c>
      <c r="AN12" s="1443" t="s">
        <v>5438</v>
      </c>
      <c r="AO12" s="1444" t="s">
        <v>5439</v>
      </c>
    </row>
    <row r="13" spans="2:41" s="9" customFormat="1" ht="15.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1"/>
      <c r="G15" s="2277"/>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2"/>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5440</v>
      </c>
      <c r="AM15" s="1443" t="s">
        <v>5441</v>
      </c>
      <c r="AN15" s="1443" t="s">
        <v>5442</v>
      </c>
      <c r="AO15" s="1444" t="s">
        <v>5443</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1"/>
      <c r="G16" s="2277"/>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2"/>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5444</v>
      </c>
      <c r="AM16" s="1443" t="s">
        <v>5445</v>
      </c>
      <c r="AN16" s="1443" t="s">
        <v>5446</v>
      </c>
      <c r="AO16" s="1444" t="s">
        <v>5447</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1"/>
      <c r="G17" s="2277"/>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2"/>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5448</v>
      </c>
      <c r="AM17" s="1443" t="s">
        <v>5449</v>
      </c>
      <c r="AN17" s="1443" t="s">
        <v>5450</v>
      </c>
      <c r="AO17" s="1444" t="s">
        <v>5451</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1"/>
      <c r="G18" s="2277"/>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2"/>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5452</v>
      </c>
      <c r="AM18" s="1443" t="s">
        <v>5453</v>
      </c>
      <c r="AN18" s="1443" t="s">
        <v>5454</v>
      </c>
      <c r="AO18" s="1444" t="s">
        <v>5455</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1"/>
      <c r="G19" s="2277"/>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2"/>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5456</v>
      </c>
      <c r="AM19" s="1443" t="s">
        <v>5457</v>
      </c>
      <c r="AN19" s="1443" t="s">
        <v>5458</v>
      </c>
      <c r="AO19" s="1444" t="s">
        <v>5459</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7"/>
      <c r="G20" s="2277"/>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2"/>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5460</v>
      </c>
      <c r="AM20" s="1443" t="s">
        <v>5461</v>
      </c>
      <c r="AN20" s="1443" t="s">
        <v>5462</v>
      </c>
      <c r="AO20" s="1444" t="s">
        <v>5463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7"/>
      <c r="G21" s="2277"/>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2"/>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5464</v>
      </c>
      <c r="AM21" s="1443" t="s">
        <v>5465</v>
      </c>
      <c r="AN21" s="1443" t="s">
        <v>5466</v>
      </c>
      <c r="AO21" s="1444" t="s">
        <v>5467</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8"/>
      <c r="G22" s="2277"/>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2"/>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5468</v>
      </c>
      <c r="AM22" s="1443" t="s">
        <v>5469</v>
      </c>
      <c r="AN22" s="1443" t="s">
        <v>5470</v>
      </c>
      <c r="AO22" s="1444" t="s">
        <v>5471</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2"/>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5472</v>
      </c>
      <c r="AM23" s="1443" t="s">
        <v>5473</v>
      </c>
      <c r="AN23" s="1443" t="s">
        <v>5474</v>
      </c>
      <c r="AO23" s="1444" t="s">
        <v>5475</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2"/>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5476</v>
      </c>
      <c r="AM24" s="1443" t="s">
        <v>5477</v>
      </c>
      <c r="AN24" s="1443" t="s">
        <v>5478</v>
      </c>
      <c r="AO24" s="1444" t="s">
        <v>5479</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2"/>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5480</v>
      </c>
      <c r="AM25" s="1443" t="s">
        <v>5481</v>
      </c>
      <c r="AN25" s="1443" t="s">
        <v>5482</v>
      </c>
      <c r="AO25" s="1444" t="s">
        <v>5483</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2"/>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5484</v>
      </c>
      <c r="AM26" s="1443" t="s">
        <v>5485</v>
      </c>
      <c r="AN26" s="1443" t="s">
        <v>5486</v>
      </c>
      <c r="AO26" s="1444" t="s">
        <v>5487</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2"/>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5488</v>
      </c>
      <c r="AM27" s="1443" t="s">
        <v>5489</v>
      </c>
      <c r="AN27" s="1443" t="s">
        <v>5490</v>
      </c>
      <c r="AO27" s="1444" t="s">
        <v>5491</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2"/>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5492</v>
      </c>
      <c r="AM28" s="1443" t="s">
        <v>5493</v>
      </c>
      <c r="AN28" s="1443" t="s">
        <v>5494</v>
      </c>
      <c r="AO28" s="1444" t="s">
        <v>5495</v>
      </c>
    </row>
    <row r="29" spans="2:41" s="9" customFormat="1" ht="15.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t="str">
        <f>IFERROR(IF('Validation summary'!F3="Woc","",(COUNTIF($G$9:$G$28,"Yes")/(COUNTA($G$9:$G$28) - COUNTIF($G$9:$G$28,"-")))*100),"")</f>
        <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5496</v>
      </c>
      <c r="AN30" s="339"/>
      <c r="AO30" s="340"/>
    </row>
    <row r="31" spans="2:41" s="9" customFormat="1" ht="14.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5">
      <c r="U33" s="315"/>
      <c r="V33" s="327"/>
      <c r="W33" s="327"/>
      <c r="X33" s="327"/>
      <c r="Y33" s="327"/>
      <c r="Z33" s="327"/>
      <c r="AA33" s="315"/>
      <c r="AB33" s="315"/>
      <c r="AC33" s="315"/>
      <c r="AD33" s="328"/>
      <c r="AE33" s="315"/>
      <c r="AF33" s="315"/>
    </row>
    <row r="34" spans="2:32" ht="15.5">
      <c r="B34" s="1802" t="s">
        <v>193</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71" t="s">
        <v>194</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803" t="s">
        <v>195</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804" t="s">
        <v>196</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D14" sqref="D14"/>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SES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7">
        <v>66.12</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5174</v>
      </c>
    </row>
    <row r="7" spans="2:31" s="18" customFormat="1" ht="28.5" customHeight="1">
      <c r="B7" s="282" t="s">
        <v>231</v>
      </c>
      <c r="C7" s="287" t="s">
        <v>229</v>
      </c>
      <c r="D7" s="2297">
        <v>73.31</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5175</v>
      </c>
    </row>
    <row r="8" spans="2:31" s="18" customFormat="1" ht="28.5" customHeight="1">
      <c r="B8" s="282" t="s">
        <v>233</v>
      </c>
      <c r="C8" s="287" t="s">
        <v>229</v>
      </c>
      <c r="D8" s="2160">
        <f>(D6*50%)+(D7*50%)</f>
        <v>69.715000000000003</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5176</v>
      </c>
    </row>
    <row r="9" spans="2:31" s="18" customFormat="1" ht="28.5" customHeight="1">
      <c r="B9" s="282" t="s">
        <v>235</v>
      </c>
      <c r="C9" s="287" t="s">
        <v>229</v>
      </c>
      <c r="D9" s="2297">
        <v>-9</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5177</v>
      </c>
    </row>
    <row r="10" spans="2:31" s="18" customFormat="1" ht="28.5" customHeight="1">
      <c r="B10" s="282" t="s">
        <v>237</v>
      </c>
      <c r="C10" s="287" t="s">
        <v>229</v>
      </c>
      <c r="D10" s="2298">
        <v>2249</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5178</v>
      </c>
    </row>
    <row r="11" spans="2:31" s="18" customFormat="1" ht="28.5" customHeight="1">
      <c r="B11" s="282" t="s">
        <v>239</v>
      </c>
      <c r="C11" s="287" t="s">
        <v>229</v>
      </c>
      <c r="D11" s="2299">
        <v>297228</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5179</v>
      </c>
    </row>
    <row r="12" spans="2:31" s="18" customFormat="1" ht="28.5" customHeight="1">
      <c r="B12" s="282" t="s">
        <v>241</v>
      </c>
      <c r="C12" s="287" t="s">
        <v>229</v>
      </c>
      <c r="D12" s="2161">
        <f>D10*(10000/D11)</f>
        <v>75.665818832680642</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5180</v>
      </c>
    </row>
    <row r="13" spans="2:31" s="18" customFormat="1" ht="28.5" customHeight="1">
      <c r="B13" s="282" t="s">
        <v>243</v>
      </c>
      <c r="C13" s="296" t="s">
        <v>244</v>
      </c>
      <c r="D13" s="2162"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5181</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71"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AB16" sqref="AB16"/>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SES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74.55</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5183</v>
      </c>
    </row>
    <row r="7" spans="2:30" s="18" customFormat="1" ht="21" customHeight="1">
      <c r="B7" s="282" t="s">
        <v>248</v>
      </c>
      <c r="C7" s="287" t="s">
        <v>229</v>
      </c>
      <c r="D7" s="2160">
        <f>$E$66*100</f>
        <v>99.849199999999996</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5184</v>
      </c>
    </row>
    <row r="8" spans="2:30" s="18" customFormat="1" ht="21" customHeight="1" thickBot="1">
      <c r="B8" s="282" t="s">
        <v>250</v>
      </c>
      <c r="C8" s="287" t="s">
        <v>229</v>
      </c>
      <c r="D8" s="2163">
        <f>(D6*50%)+(D7*50%)</f>
        <v>87.199600000000004</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5185</v>
      </c>
    </row>
    <row r="9" spans="2:30" s="18" customFormat="1" ht="21" customHeight="1" thickBot="1">
      <c r="B9" s="282" t="s">
        <v>252</v>
      </c>
      <c r="C9" s="364" t="s">
        <v>148</v>
      </c>
      <c r="D9" s="2172">
        <v>2.8239999999999998</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5186</v>
      </c>
    </row>
    <row r="10" spans="2:30" s="18" customFormat="1" ht="21" customHeight="1" thickBot="1">
      <c r="B10" s="282" t="s">
        <v>254</v>
      </c>
      <c r="C10" s="364" t="s">
        <v>148</v>
      </c>
      <c r="D10" s="2172" t="s">
        <v>5182</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5187</v>
      </c>
    </row>
    <row r="11" spans="2:30" s="18" customFormat="1" ht="16.5" customHeight="1">
      <c r="N11" s="1346"/>
      <c r="O11" s="318"/>
      <c r="P11" s="318"/>
      <c r="Q11" s="318"/>
      <c r="R11" s="318"/>
      <c r="S11" s="318"/>
      <c r="T11" s="1346"/>
      <c r="U11" s="322"/>
      <c r="V11" s="322"/>
      <c r="W11" s="322"/>
      <c r="X11" s="318"/>
      <c r="Y11" s="1345"/>
      <c r="Z11" s="1346"/>
    </row>
    <row r="12" spans="2:30" s="18" customFormat="1">
      <c r="B12" s="304" t="s">
        <v>256</v>
      </c>
      <c r="N12" s="1346"/>
      <c r="O12" s="317">
        <v>1</v>
      </c>
      <c r="P12" s="317">
        <v>2</v>
      </c>
      <c r="Q12" s="317">
        <v>3</v>
      </c>
      <c r="R12" s="317">
        <v>4</v>
      </c>
      <c r="S12" s="317">
        <v>5</v>
      </c>
      <c r="T12" s="321"/>
      <c r="U12" s="317"/>
      <c r="V12" s="317"/>
      <c r="W12" s="317">
        <v>3</v>
      </c>
      <c r="X12" s="317">
        <v>3</v>
      </c>
      <c r="Y12" s="317"/>
      <c r="Z12" s="1346"/>
    </row>
    <row r="13" spans="2:30" s="18" customFormat="1" ht="39">
      <c r="B13" s="1286" t="s">
        <v>257</v>
      </c>
      <c r="C13" s="1286" t="s">
        <v>139</v>
      </c>
      <c r="D13" s="1286" t="s">
        <v>258</v>
      </c>
      <c r="E13" s="1286" t="s">
        <v>259</v>
      </c>
      <c r="F13" s="275"/>
      <c r="G13" s="1286" t="s">
        <v>144</v>
      </c>
      <c r="I13" s="308"/>
      <c r="J13" s="308"/>
      <c r="N13" s="1346"/>
      <c r="O13" s="320" t="s">
        <v>5189</v>
      </c>
      <c r="P13" s="318"/>
      <c r="Q13" s="320"/>
      <c r="R13" s="318"/>
      <c r="S13" s="318"/>
      <c r="T13" s="1346"/>
      <c r="U13" s="320"/>
      <c r="V13" s="322"/>
      <c r="W13" s="320" t="s">
        <v>150</v>
      </c>
      <c r="X13" s="318"/>
      <c r="Y13" s="1345"/>
      <c r="Z13" s="1346"/>
    </row>
    <row r="14" spans="2:30" s="18" customFormat="1" ht="21" customHeight="1">
      <c r="B14" s="2164" t="s">
        <v>5616</v>
      </c>
      <c r="C14" s="296" t="s">
        <v>188</v>
      </c>
      <c r="D14" s="2165">
        <v>0.996</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4" t="s">
        <v>5617</v>
      </c>
      <c r="C15" s="296" t="s">
        <v>188</v>
      </c>
      <c r="D15" s="2165">
        <v>1</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4" t="s">
        <v>5618</v>
      </c>
      <c r="C16" s="296" t="s">
        <v>188</v>
      </c>
      <c r="D16" s="2165">
        <v>0.99860000000000004</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4" t="s">
        <v>5619</v>
      </c>
      <c r="C17" s="296" t="s">
        <v>188</v>
      </c>
      <c r="D17" s="2165">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4" t="s">
        <v>5620</v>
      </c>
      <c r="C18" s="296" t="s">
        <v>188</v>
      </c>
      <c r="D18" s="2165">
        <v>0.9677</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4" t="s">
        <v>5621</v>
      </c>
      <c r="C19" s="296" t="s">
        <v>188</v>
      </c>
      <c r="D19" s="2165">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4" t="s">
        <v>5622</v>
      </c>
      <c r="C20" s="296" t="s">
        <v>188</v>
      </c>
      <c r="D20" s="2165">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4" t="s">
        <v>5623</v>
      </c>
      <c r="C21" s="296" t="s">
        <v>188</v>
      </c>
      <c r="D21" s="2165">
        <v>1</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4" t="s">
        <v>5624</v>
      </c>
      <c r="C22" s="296" t="s">
        <v>188</v>
      </c>
      <c r="D22" s="2165">
        <v>1</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4" t="s">
        <v>5625</v>
      </c>
      <c r="C23" s="296" t="s">
        <v>188</v>
      </c>
      <c r="D23" s="2165">
        <v>1</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4" t="s">
        <v>5626</v>
      </c>
      <c r="C24" s="296" t="s">
        <v>188</v>
      </c>
      <c r="D24" s="2165">
        <v>1</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4" t="s">
        <v>5627</v>
      </c>
      <c r="C25" s="296" t="s">
        <v>188</v>
      </c>
      <c r="D25" s="2165">
        <v>1</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4" t="s">
        <v>5628</v>
      </c>
      <c r="C26" s="296" t="s">
        <v>188</v>
      </c>
      <c r="D26" s="2165">
        <v>1</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4" t="s">
        <v>5629</v>
      </c>
      <c r="C27" s="296" t="s">
        <v>188</v>
      </c>
      <c r="D27" s="2165">
        <v>1</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4" t="s">
        <v>5630</v>
      </c>
      <c r="C28" s="296" t="s">
        <v>188</v>
      </c>
      <c r="D28" s="2165">
        <v>1</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4" t="s">
        <v>5631</v>
      </c>
      <c r="C29" s="296" t="s">
        <v>188</v>
      </c>
      <c r="D29" s="2165">
        <v>1</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4" t="s">
        <v>5632</v>
      </c>
      <c r="C30" s="296" t="s">
        <v>188</v>
      </c>
      <c r="D30" s="2165">
        <v>1</v>
      </c>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4" t="s">
        <v>5633</v>
      </c>
      <c r="C31" s="296" t="s">
        <v>188</v>
      </c>
      <c r="D31" s="2165">
        <v>1</v>
      </c>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4" t="s">
        <v>5634</v>
      </c>
      <c r="C32" s="296" t="s">
        <v>188</v>
      </c>
      <c r="D32" s="2165">
        <v>1</v>
      </c>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4" t="s">
        <v>5635</v>
      </c>
      <c r="C33" s="296" t="s">
        <v>188</v>
      </c>
      <c r="D33" s="2165">
        <v>1</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4" t="s">
        <v>5636</v>
      </c>
      <c r="C34" s="296" t="s">
        <v>188</v>
      </c>
      <c r="D34" s="2165">
        <v>1</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4" t="s">
        <v>5637</v>
      </c>
      <c r="C35" s="296" t="s">
        <v>188</v>
      </c>
      <c r="D35" s="2165">
        <v>1</v>
      </c>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4" t="s">
        <v>5638</v>
      </c>
      <c r="C36" s="296" t="s">
        <v>188</v>
      </c>
      <c r="D36" s="2165">
        <v>1</v>
      </c>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4" t="s">
        <v>5639</v>
      </c>
      <c r="C37" s="296" t="s">
        <v>188</v>
      </c>
      <c r="D37" s="2165">
        <v>1</v>
      </c>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4" t="s">
        <v>5640</v>
      </c>
      <c r="C38" s="296" t="s">
        <v>188</v>
      </c>
      <c r="D38" s="2165">
        <v>1</v>
      </c>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4"/>
      <c r="C39" s="296" t="s">
        <v>188</v>
      </c>
      <c r="D39" s="2165"/>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4"/>
      <c r="C40" s="296" t="s">
        <v>188</v>
      </c>
      <c r="D40" s="2165"/>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4"/>
      <c r="C41" s="296" t="s">
        <v>188</v>
      </c>
      <c r="D41" s="2165"/>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4"/>
      <c r="C42" s="296" t="s">
        <v>188</v>
      </c>
      <c r="D42" s="2165"/>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4"/>
      <c r="C43" s="296" t="s">
        <v>188</v>
      </c>
      <c r="D43" s="2165"/>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4"/>
      <c r="C44" s="296" t="s">
        <v>188</v>
      </c>
      <c r="D44" s="2165"/>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4"/>
      <c r="C45" s="296" t="s">
        <v>188</v>
      </c>
      <c r="D45" s="2165"/>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4"/>
      <c r="C46" s="296" t="s">
        <v>188</v>
      </c>
      <c r="D46" s="2165"/>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4"/>
      <c r="C47" s="296" t="s">
        <v>188</v>
      </c>
      <c r="D47" s="2165"/>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4"/>
      <c r="C48" s="296" t="s">
        <v>188</v>
      </c>
      <c r="D48" s="2165"/>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4"/>
      <c r="C49" s="296" t="s">
        <v>188</v>
      </c>
      <c r="D49" s="2165"/>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4"/>
      <c r="C50" s="296" t="s">
        <v>188</v>
      </c>
      <c r="D50" s="2165"/>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4"/>
      <c r="C51" s="296" t="s">
        <v>188</v>
      </c>
      <c r="D51" s="2165"/>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4"/>
      <c r="C52" s="296" t="s">
        <v>188</v>
      </c>
      <c r="D52" s="2165"/>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4"/>
      <c r="C53" s="296" t="s">
        <v>188</v>
      </c>
      <c r="D53" s="2165"/>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4"/>
      <c r="C54" s="296" t="s">
        <v>188</v>
      </c>
      <c r="D54" s="2165"/>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4"/>
      <c r="C55" s="296" t="s">
        <v>188</v>
      </c>
      <c r="D55" s="2165"/>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4"/>
      <c r="C56" s="296" t="s">
        <v>188</v>
      </c>
      <c r="D56" s="2165"/>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4"/>
      <c r="C57" s="296" t="s">
        <v>188</v>
      </c>
      <c r="D57" s="2165"/>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4"/>
      <c r="C58" s="296" t="s">
        <v>188</v>
      </c>
      <c r="D58" s="2165"/>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4"/>
      <c r="C59" s="296" t="s">
        <v>188</v>
      </c>
      <c r="D59" s="2165"/>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4"/>
      <c r="C60" s="296" t="s">
        <v>188</v>
      </c>
      <c r="D60" s="2165"/>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4"/>
      <c r="C61" s="296" t="s">
        <v>188</v>
      </c>
      <c r="D61" s="2165"/>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4"/>
      <c r="C62" s="296" t="s">
        <v>188</v>
      </c>
      <c r="D62" s="2165"/>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4"/>
      <c r="C63" s="296" t="s">
        <v>188</v>
      </c>
      <c r="D63" s="2165"/>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c r="N64" s="1346"/>
      <c r="O64" s="318"/>
      <c r="P64" s="318"/>
      <c r="Q64" s="318"/>
      <c r="R64" s="318"/>
      <c r="S64" s="318"/>
      <c r="T64" s="1346"/>
      <c r="U64" s="322"/>
      <c r="V64" s="322"/>
      <c r="W64" s="322"/>
      <c r="X64" s="318"/>
      <c r="Y64" s="1345"/>
      <c r="Z64" s="1346"/>
    </row>
    <row r="65" spans="2:32" s="18" customFormat="1" ht="21" customHeight="1">
      <c r="B65" s="298" t="s">
        <v>310</v>
      </c>
      <c r="C65" s="296" t="s">
        <v>188</v>
      </c>
      <c r="D65" s="2166">
        <f>AVERAGE(D14:D63)</f>
        <v>0.99849199999999994</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0.99849199999999994</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6" thickBot="1">
      <c r="B71" s="363"/>
      <c r="C71" s="8"/>
      <c r="D71" s="8"/>
      <c r="E71" s="8"/>
      <c r="F71" s="8"/>
      <c r="G71" s="8"/>
    </row>
    <row r="72" spans="2:32" ht="16" thickBot="1">
      <c r="B72" s="2171"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F10" sqref="F10"/>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SES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400" t="s">
        <v>137</v>
      </c>
      <c r="C5" s="2399" t="s">
        <v>138</v>
      </c>
      <c r="D5" s="2399" t="s">
        <v>139</v>
      </c>
      <c r="E5" s="2399" t="s">
        <v>140</v>
      </c>
      <c r="F5" s="2402" t="s">
        <v>141</v>
      </c>
      <c r="G5" s="2399" t="s">
        <v>142</v>
      </c>
      <c r="H5" s="274"/>
      <c r="I5" s="2399" t="s">
        <v>144</v>
      </c>
      <c r="J5" s="15"/>
      <c r="K5" s="2393" t="s">
        <v>145</v>
      </c>
      <c r="L5" s="2393"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400" t="s">
        <v>137</v>
      </c>
      <c r="AI5" s="2399" t="s">
        <v>138</v>
      </c>
      <c r="AJ5" s="2399" t="s">
        <v>139</v>
      </c>
      <c r="AK5" s="2399" t="s">
        <v>140</v>
      </c>
      <c r="AL5" s="2402" t="s">
        <v>141</v>
      </c>
      <c r="AM5" s="2399" t="s">
        <v>142</v>
      </c>
      <c r="AN5" s="274"/>
    </row>
    <row r="6" spans="2:42" s="9" customFormat="1" ht="60" customHeight="1">
      <c r="B6" s="2400"/>
      <c r="C6" s="2399"/>
      <c r="D6" s="2399"/>
      <c r="E6" s="2401"/>
      <c r="F6" s="2403"/>
      <c r="G6" s="2399"/>
      <c r="H6" s="274"/>
      <c r="I6" s="2399"/>
      <c r="J6" s="15"/>
      <c r="K6" s="2393"/>
      <c r="L6" s="2393"/>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400"/>
      <c r="AI6" s="2399"/>
      <c r="AJ6" s="2399"/>
      <c r="AK6" s="2401"/>
      <c r="AL6" s="2403"/>
      <c r="AM6" s="2399"/>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PR19SES_C.1</v>
      </c>
      <c r="D9" s="300" t="str">
        <f>IF($I$3="Select company","",INDEX(App1bdata,MATCH($C9,App1bIDnrs,0),20))</f>
        <v>%</v>
      </c>
      <c r="E9" s="300">
        <f>IF($I$3="Select company","",INDEX(App1bdata,MATCH($C9,App1bIDnrs,0),22))</f>
        <v>1</v>
      </c>
      <c r="F9" s="2300">
        <v>0</v>
      </c>
      <c r="G9" s="2277"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PR19SES_C.1</v>
      </c>
      <c r="AJ9" s="282" t="str">
        <f t="shared" si="0"/>
        <v>%</v>
      </c>
      <c r="AK9" s="282">
        <f t="shared" si="0"/>
        <v>1</v>
      </c>
      <c r="AL9" s="1452" t="s">
        <v>5497</v>
      </c>
      <c r="AM9" s="1443" t="s">
        <v>5498</v>
      </c>
      <c r="AN9" s="1345"/>
    </row>
    <row r="10" spans="2:42" s="9" customFormat="1" ht="28.5" customHeight="1">
      <c r="B10" s="282" t="s">
        <v>320</v>
      </c>
      <c r="C10" s="287" t="str">
        <f>IF($I$3="Select company","",VLOOKUP('3A'!$R$1,C_PSR,2,0))</f>
        <v>PR19SES_B.5</v>
      </c>
      <c r="D10" s="287" t="str">
        <f>IF($I$3="Select company","",INDEX(App1bdata,MATCH($C10,App1bIDnrs,0),20))</f>
        <v>%</v>
      </c>
      <c r="E10" s="287">
        <f>IF($I$3="Select company","",INDEX(App1bdata,MATCH($C10,App1bIDnrs,0),22))</f>
        <v>1</v>
      </c>
      <c r="F10" s="1805">
        <f>'3F'!$E$46*100</f>
        <v>15.8</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PR19SES_B.5</v>
      </c>
      <c r="AJ10" s="282" t="str">
        <f t="shared" si="0"/>
        <v>%</v>
      </c>
      <c r="AK10" s="282">
        <f t="shared" si="0"/>
        <v>1</v>
      </c>
      <c r="AL10" s="1434" t="s">
        <v>5193</v>
      </c>
      <c r="AM10" s="1443" t="s">
        <v>5499</v>
      </c>
      <c r="AN10" s="1345"/>
    </row>
    <row r="11" spans="2:42" s="9" customFormat="1" ht="28.5" customHeight="1">
      <c r="B11" s="282" t="s">
        <v>322</v>
      </c>
      <c r="C11" s="287" t="str">
        <f>IF($I$3="Select company","",VLOOKUP('3A'!$R$1,C_PSR,2,0))</f>
        <v>PR19SES_B.5</v>
      </c>
      <c r="D11" s="287" t="str">
        <f>IF($I$3="Select company","",INDEX(App1bdata,MATCH($C11,App1bIDnrs,0),20))</f>
        <v>%</v>
      </c>
      <c r="E11" s="287">
        <f>IF($I$3="Select company","",INDEX(App1bdata,MATCH($C11,App1bIDnrs,0),22))</f>
        <v>1</v>
      </c>
      <c r="F11" s="1805">
        <f>'3F'!$H$46*100</f>
        <v>93.7</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PR19SES_B.5</v>
      </c>
      <c r="AJ11" s="282" t="str">
        <f t="shared" si="0"/>
        <v>%</v>
      </c>
      <c r="AK11" s="282">
        <f t="shared" si="0"/>
        <v>1</v>
      </c>
      <c r="AL11" s="1434" t="s">
        <v>5196</v>
      </c>
      <c r="AM11" s="1443" t="s">
        <v>5500</v>
      </c>
      <c r="AN11" s="1345"/>
    </row>
    <row r="12" spans="2:42" s="9" customFormat="1" ht="28.5" customHeight="1">
      <c r="B12" s="282" t="s">
        <v>324</v>
      </c>
      <c r="C12" s="287" t="str">
        <f>IF($I$3="Select company","",VLOOKUP('3A'!$R$1,C_PSR,2,0))</f>
        <v>PR19SES_B.5</v>
      </c>
      <c r="D12" s="287" t="str">
        <f>IF($I$3="Select company","",INDEX(App1bdata,MATCH($C12,App1bIDnrs,0),20))</f>
        <v>%</v>
      </c>
      <c r="E12" s="287">
        <f>IF($I$3="Select company","",INDEX(App1bdata,MATCH($C12,App1bIDnrs,0),22))</f>
        <v>1</v>
      </c>
      <c r="F12" s="1805">
        <f>'3F'!$J$46*100</f>
        <v>72.2</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PR19SES_B.5</v>
      </c>
      <c r="AJ12" s="282" t="str">
        <f t="shared" si="0"/>
        <v>%</v>
      </c>
      <c r="AK12" s="282">
        <f t="shared" si="0"/>
        <v>1</v>
      </c>
      <c r="AL12" s="1434" t="s">
        <v>5198</v>
      </c>
      <c r="AM12" s="1443" t="s">
        <v>5501</v>
      </c>
      <c r="AN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1"/>
      <c r="G13" s="2277"/>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5502</v>
      </c>
      <c r="AM13" s="1443" t="s">
        <v>5503</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Vulnerable support scheme awareness</v>
      </c>
      <c r="C16" s="287" t="str">
        <f>IF($I$3="Select company","",IF(HLOOKUP('3A'!$R$1,B_NFIN_All,'PC lists'!$B79,0)="","",HLOOKUP('3A'!$R$1,B_NFIN_All,'PC lists'!$B79,0)))</f>
        <v>PR19SES_B.2</v>
      </c>
      <c r="D16" s="287" t="str">
        <f t="shared" ref="D16:D38" si="3">IF($C16="","",INDEX(App1data,MATCH($C16,App1IDnrs,0),20))</f>
        <v>%</v>
      </c>
      <c r="E16" s="287">
        <f t="shared" ref="E16:E38" si="4">IF($C16="","",INDEX(App1data,MATCH($C16,App1IDnrs,0),22))</f>
        <v>1</v>
      </c>
      <c r="F16" s="2302">
        <v>40</v>
      </c>
      <c r="G16" s="2277" t="s">
        <v>155</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Vulnerable support scheme awareness</v>
      </c>
      <c r="AI16" s="282" t="str">
        <f t="shared" si="7"/>
        <v>PR19SES_B.2</v>
      </c>
      <c r="AJ16" s="282" t="str">
        <f t="shared" si="7"/>
        <v>%</v>
      </c>
      <c r="AK16" s="282">
        <f t="shared" si="7"/>
        <v>1</v>
      </c>
      <c r="AL16" s="1454" t="s">
        <v>5504</v>
      </c>
      <c r="AM16" s="1443" t="s">
        <v>5505</v>
      </c>
      <c r="AO16" s="9"/>
      <c r="AP16" s="9"/>
    </row>
    <row r="17" spans="2:42" s="16" customFormat="1" ht="28.5" customHeight="1">
      <c r="B17" s="282" t="str">
        <f t="shared" si="2"/>
        <v>Vulnerable support scheme helpfulness</v>
      </c>
      <c r="C17" s="287" t="str">
        <f>IF($I$3="Select company","",IF(HLOOKUP('3A'!$R$1,B_NFIN_All,'PC lists'!$B80,0)="","",HLOOKUP('3A'!$R$1,B_NFIN_All,'PC lists'!$B80,0)))</f>
        <v>PR19SES_B.3</v>
      </c>
      <c r="D17" s="287" t="str">
        <f t="shared" si="3"/>
        <v>%</v>
      </c>
      <c r="E17" s="287">
        <f t="shared" si="4"/>
        <v>1</v>
      </c>
      <c r="F17" s="2277">
        <v>85</v>
      </c>
      <c r="G17" s="2277" t="s">
        <v>161</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Vulnerable support scheme helpfulness</v>
      </c>
      <c r="AI17" s="282" t="str">
        <f t="shared" si="7"/>
        <v>PR19SES_B.3</v>
      </c>
      <c r="AJ17" s="282" t="str">
        <f t="shared" si="7"/>
        <v>%</v>
      </c>
      <c r="AK17" s="282">
        <f t="shared" si="7"/>
        <v>1</v>
      </c>
      <c r="AL17" s="1454" t="s">
        <v>5506</v>
      </c>
      <c r="AM17" s="1443" t="s">
        <v>5507</v>
      </c>
      <c r="AO17" s="9"/>
      <c r="AP17" s="9"/>
    </row>
    <row r="18" spans="2:42" s="16" customFormat="1" ht="28.5" customHeight="1">
      <c r="B18" s="282" t="str">
        <f t="shared" si="2"/>
        <v>Pollution incidents</v>
      </c>
      <c r="C18" s="287" t="str">
        <f>IF($I$3="Select company","",IF(HLOOKUP('3A'!$R$1,B_NFIN_All,'PC lists'!$B81,0)="","",HLOOKUP('3A'!$R$1,B_NFIN_All,'PC lists'!$B81,0)))</f>
        <v>PR19SES_E.3</v>
      </c>
      <c r="D18" s="287" t="str">
        <f t="shared" si="3"/>
        <v>nr</v>
      </c>
      <c r="E18" s="287">
        <f t="shared" si="4"/>
        <v>0</v>
      </c>
      <c r="F18" s="2277">
        <v>1</v>
      </c>
      <c r="G18" s="2277" t="s">
        <v>155</v>
      </c>
      <c r="I18" s="286" t="s">
        <v>330</v>
      </c>
      <c r="K18" s="319">
        <f t="shared" si="8"/>
        <v>0</v>
      </c>
      <c r="L18" s="331"/>
      <c r="U18" s="1346"/>
      <c r="V18" s="318"/>
      <c r="W18" s="318">
        <f t="shared" si="5"/>
        <v>0</v>
      </c>
      <c r="X18" s="318">
        <f t="shared" si="6"/>
        <v>0</v>
      </c>
      <c r="Y18" s="318"/>
      <c r="Z18" s="318"/>
      <c r="AA18" s="313"/>
      <c r="AD18" s="322"/>
      <c r="AF18" s="1346"/>
      <c r="AH18" s="282" t="str">
        <f t="shared" si="7"/>
        <v>Pollution incidents</v>
      </c>
      <c r="AI18" s="282" t="str">
        <f t="shared" si="7"/>
        <v>PR19SES_E.3</v>
      </c>
      <c r="AJ18" s="282" t="str">
        <f t="shared" si="7"/>
        <v>nr</v>
      </c>
      <c r="AK18" s="282">
        <f t="shared" si="7"/>
        <v>0</v>
      </c>
      <c r="AL18" s="1454" t="s">
        <v>5508</v>
      </c>
      <c r="AM18" s="1443" t="s">
        <v>5509</v>
      </c>
      <c r="AO18" s="9"/>
      <c r="AP18" s="9"/>
    </row>
    <row r="19" spans="2:42" s="16" customFormat="1" ht="28.5" customHeight="1">
      <c r="B19" s="282" t="str">
        <f t="shared" si="2"/>
        <v>Abstraction incentive mechanism</v>
      </c>
      <c r="C19" s="287" t="str">
        <f>IF($I$3="Select company","",IF(HLOOKUP('3A'!$R$1,B_NFIN_All,'PC lists'!$B82,0)="","",HLOOKUP('3A'!$R$1,B_NFIN_All,'PC lists'!$B82,0)))</f>
        <v>PR19SES_E.4</v>
      </c>
      <c r="D19" s="287" t="str">
        <f t="shared" si="3"/>
        <v>nr</v>
      </c>
      <c r="E19" s="287">
        <f t="shared" si="4"/>
        <v>0</v>
      </c>
      <c r="F19" s="2278" t="s">
        <v>174</v>
      </c>
      <c r="G19" s="2277" t="s">
        <v>161</v>
      </c>
      <c r="I19" s="286" t="s">
        <v>331</v>
      </c>
      <c r="K19" s="319">
        <f t="shared" si="8"/>
        <v>0</v>
      </c>
      <c r="L19" s="331"/>
      <c r="U19" s="313"/>
      <c r="V19" s="318"/>
      <c r="W19" s="318">
        <f t="shared" si="5"/>
        <v>0</v>
      </c>
      <c r="X19" s="318">
        <f t="shared" si="6"/>
        <v>0</v>
      </c>
      <c r="Y19" s="318"/>
      <c r="Z19" s="318"/>
      <c r="AA19" s="313"/>
      <c r="AD19" s="322"/>
      <c r="AF19" s="313"/>
      <c r="AH19" s="282" t="str">
        <f t="shared" si="7"/>
        <v>Abstraction incentive mechanism</v>
      </c>
      <c r="AI19" s="282" t="str">
        <f t="shared" si="7"/>
        <v>PR19SES_E.4</v>
      </c>
      <c r="AJ19" s="282" t="str">
        <f t="shared" si="7"/>
        <v>nr</v>
      </c>
      <c r="AK19" s="282">
        <f t="shared" si="7"/>
        <v>0</v>
      </c>
      <c r="AL19" s="1454" t="s">
        <v>5510</v>
      </c>
      <c r="AM19" s="1443" t="s">
        <v>5511</v>
      </c>
      <c r="AO19" s="9"/>
      <c r="AP19" s="9"/>
    </row>
    <row r="20" spans="2:42" s="16" customFormat="1" ht="28.5" customHeight="1">
      <c r="B20" s="282" t="str">
        <f t="shared" si="2"/>
        <v>Land based improvement  - biodiversity</v>
      </c>
      <c r="C20" s="287" t="str">
        <f>IF($I$3="Select company","",IF(HLOOKUP('3A'!$R$1,B_NFIN_All,'PC lists'!$B83,0)="","",HLOOKUP('3A'!$R$1,B_NFIN_All,'PC lists'!$B83,0)))</f>
        <v>PR19SES_E.5</v>
      </c>
      <c r="D20" s="287" t="str">
        <f t="shared" si="3"/>
        <v>nr</v>
      </c>
      <c r="E20" s="287">
        <f t="shared" si="4"/>
        <v>0</v>
      </c>
      <c r="F20" s="2277">
        <v>3</v>
      </c>
      <c r="G20" s="2277" t="s">
        <v>161</v>
      </c>
      <c r="I20" s="286" t="s">
        <v>332</v>
      </c>
      <c r="K20" s="319">
        <f t="shared" si="8"/>
        <v>0</v>
      </c>
      <c r="L20" s="331"/>
      <c r="U20" s="313"/>
      <c r="V20" s="318"/>
      <c r="W20" s="318">
        <f t="shared" si="5"/>
        <v>0</v>
      </c>
      <c r="X20" s="318">
        <f t="shared" si="6"/>
        <v>0</v>
      </c>
      <c r="Y20" s="318"/>
      <c r="Z20" s="318"/>
      <c r="AA20" s="313"/>
      <c r="AD20" s="322"/>
      <c r="AF20" s="313"/>
      <c r="AH20" s="282" t="str">
        <f t="shared" si="7"/>
        <v>Land based improvement  - biodiversity</v>
      </c>
      <c r="AI20" s="282" t="str">
        <f t="shared" si="7"/>
        <v>PR19SES_E.5</v>
      </c>
      <c r="AJ20" s="282" t="str">
        <f t="shared" si="7"/>
        <v>nr</v>
      </c>
      <c r="AK20" s="282">
        <f t="shared" si="7"/>
        <v>0</v>
      </c>
      <c r="AL20" s="1454" t="s">
        <v>5512</v>
      </c>
      <c r="AM20" s="1443" t="s">
        <v>5513</v>
      </c>
      <c r="AO20" s="9"/>
      <c r="AP20" s="9"/>
    </row>
    <row r="21" spans="2:42" s="16" customFormat="1" ht="28.5" customHeight="1">
      <c r="B21" s="282" t="str">
        <f t="shared" si="2"/>
        <v>Perception of value for money</v>
      </c>
      <c r="C21" s="287" t="str">
        <f>IF($I$3="Select company","",IF(HLOOKUP('3A'!$R$1,B_NFIN_All,'PC lists'!$B84,0)="","",HLOOKUP('3A'!$R$1,B_NFIN_All,'PC lists'!$B84,0)))</f>
        <v>PR19SES_B.6</v>
      </c>
      <c r="D21" s="287" t="str">
        <f t="shared" si="3"/>
        <v>%</v>
      </c>
      <c r="E21" s="287">
        <f t="shared" si="4"/>
        <v>0</v>
      </c>
      <c r="F21" s="2277">
        <v>8.4</v>
      </c>
      <c r="G21" s="2277" t="s">
        <v>155</v>
      </c>
      <c r="I21" s="286" t="s">
        <v>333</v>
      </c>
      <c r="K21" s="319">
        <f t="shared" si="8"/>
        <v>0</v>
      </c>
      <c r="L21" s="331"/>
      <c r="U21" s="313"/>
      <c r="V21" s="318"/>
      <c r="W21" s="318">
        <f t="shared" si="5"/>
        <v>0</v>
      </c>
      <c r="X21" s="318">
        <f t="shared" si="6"/>
        <v>0</v>
      </c>
      <c r="Y21" s="318"/>
      <c r="Z21" s="318"/>
      <c r="AA21" s="313"/>
      <c r="AD21" s="322"/>
      <c r="AF21" s="313"/>
      <c r="AH21" s="282" t="str">
        <f t="shared" si="7"/>
        <v>Perception of value for money</v>
      </c>
      <c r="AI21" s="282" t="str">
        <f t="shared" si="7"/>
        <v>PR19SES_B.6</v>
      </c>
      <c r="AJ21" s="282" t="str">
        <f t="shared" si="7"/>
        <v>%</v>
      </c>
      <c r="AK21" s="282">
        <f t="shared" si="7"/>
        <v>0</v>
      </c>
      <c r="AL21" s="1454" t="s">
        <v>5514</v>
      </c>
      <c r="AM21" s="1443" t="s">
        <v>5515</v>
      </c>
      <c r="AO21" s="9"/>
      <c r="AP21" s="9"/>
    </row>
    <row r="22" spans="2:42" s="16" customFormat="1" ht="28.5" customHeight="1">
      <c r="B22" s="282" t="str">
        <f t="shared" si="2"/>
        <v>WINEP Delivery</v>
      </c>
      <c r="C22" s="287" t="str">
        <f>IF($I$3="Select company","",IF(HLOOKUP('3A'!$R$1,B_NFIN_All,'PC lists'!$B85,0)="","",HLOOKUP('3A'!$R$1,B_NFIN_All,'PC lists'!$B85,0)))</f>
        <v>PR19SES_NEP01</v>
      </c>
      <c r="D22" s="287" t="str">
        <f t="shared" si="3"/>
        <v>text</v>
      </c>
      <c r="E22" s="287">
        <f t="shared" si="4"/>
        <v>0</v>
      </c>
      <c r="F22" s="2277" t="s">
        <v>5641</v>
      </c>
      <c r="G22" s="2277" t="s">
        <v>155</v>
      </c>
      <c r="I22" s="286" t="s">
        <v>334</v>
      </c>
      <c r="K22" s="319">
        <f t="shared" si="8"/>
        <v>0</v>
      </c>
      <c r="L22" s="331"/>
      <c r="U22" s="313"/>
      <c r="V22" s="318"/>
      <c r="W22" s="318">
        <f t="shared" si="5"/>
        <v>0</v>
      </c>
      <c r="X22" s="318">
        <f t="shared" si="6"/>
        <v>0</v>
      </c>
      <c r="Y22" s="318"/>
      <c r="Z22" s="318"/>
      <c r="AA22" s="313"/>
      <c r="AD22" s="322"/>
      <c r="AF22" s="313"/>
      <c r="AH22" s="282" t="str">
        <f t="shared" si="7"/>
        <v>WINEP Delivery</v>
      </c>
      <c r="AI22" s="282" t="str">
        <f t="shared" si="7"/>
        <v>PR19SES_NEP01</v>
      </c>
      <c r="AJ22" s="282" t="str">
        <f t="shared" si="7"/>
        <v>text</v>
      </c>
      <c r="AK22" s="282">
        <f t="shared" si="7"/>
        <v>0</v>
      </c>
      <c r="AL22" s="1454" t="s">
        <v>5516</v>
      </c>
      <c r="AM22" s="1443" t="s">
        <v>5517</v>
      </c>
      <c r="AO22" s="9"/>
      <c r="AP22" s="9"/>
    </row>
    <row r="23" spans="2:42" s="16" customFormat="1" ht="28.5" customHeight="1">
      <c r="B23" s="282" t="str">
        <f t="shared" si="2"/>
        <v/>
      </c>
      <c r="C23" s="287" t="str">
        <f>IF($I$3="Select company","",IF(HLOOKUP('3A'!$R$1,B_NFIN_All,'PC lists'!$B86,0)="","",HLOOKUP('3A'!$R$1,B_NFIN_All,'PC lists'!$B86,0)))</f>
        <v/>
      </c>
      <c r="D23" s="287" t="str">
        <f t="shared" si="3"/>
        <v/>
      </c>
      <c r="E23" s="287" t="str">
        <f t="shared" si="4"/>
        <v/>
      </c>
      <c r="F23" s="2277"/>
      <c r="G23" s="2277"/>
      <c r="I23" s="286" t="s">
        <v>335</v>
      </c>
      <c r="K23" s="319">
        <f t="shared" si="8"/>
        <v>0</v>
      </c>
      <c r="L23" s="331"/>
      <c r="U23" s="313"/>
      <c r="V23" s="318"/>
      <c r="W23" s="318">
        <f t="shared" si="5"/>
        <v>0</v>
      </c>
      <c r="X23" s="318">
        <f t="shared" si="6"/>
        <v>0</v>
      </c>
      <c r="Y23" s="318"/>
      <c r="Z23" s="318"/>
      <c r="AA23" s="313"/>
      <c r="AD23" s="322"/>
      <c r="AF23" s="313"/>
      <c r="AH23" s="282" t="str">
        <f t="shared" si="7"/>
        <v/>
      </c>
      <c r="AI23" s="282" t="str">
        <f t="shared" si="7"/>
        <v/>
      </c>
      <c r="AJ23" s="282" t="str">
        <f t="shared" si="7"/>
        <v/>
      </c>
      <c r="AK23" s="282" t="str">
        <f t="shared" si="7"/>
        <v/>
      </c>
      <c r="AL23" s="1454" t="s">
        <v>5518</v>
      </c>
      <c r="AM23" s="1443" t="s">
        <v>5519</v>
      </c>
      <c r="AO23" s="9"/>
      <c r="AP23" s="9"/>
    </row>
    <row r="24" spans="2:42" s="16" customFormat="1" ht="28.5" customHeight="1">
      <c r="B24" s="282" t="str">
        <f t="shared" si="2"/>
        <v/>
      </c>
      <c r="C24" s="287" t="str">
        <f>IF($I$3="Select company","",IF(HLOOKUP('3A'!$R$1,B_NFIN_All,'PC lists'!$B87,0)="","",HLOOKUP('3A'!$R$1,B_NFIN_All,'PC lists'!$B87,0)))</f>
        <v/>
      </c>
      <c r="D24" s="287" t="str">
        <f t="shared" si="3"/>
        <v/>
      </c>
      <c r="E24" s="287" t="str">
        <f t="shared" si="4"/>
        <v/>
      </c>
      <c r="F24" s="2277"/>
      <c r="G24" s="2277"/>
      <c r="I24" s="286" t="s">
        <v>336</v>
      </c>
      <c r="K24" s="319">
        <f t="shared" si="8"/>
        <v>0</v>
      </c>
      <c r="L24" s="331"/>
      <c r="U24" s="313"/>
      <c r="V24" s="318"/>
      <c r="W24" s="318">
        <f t="shared" si="5"/>
        <v>0</v>
      </c>
      <c r="X24" s="318">
        <f t="shared" si="6"/>
        <v>0</v>
      </c>
      <c r="Y24" s="318"/>
      <c r="Z24" s="318"/>
      <c r="AA24" s="313"/>
      <c r="AD24" s="322"/>
      <c r="AF24" s="313"/>
      <c r="AH24" s="282" t="str">
        <f t="shared" si="7"/>
        <v/>
      </c>
      <c r="AI24" s="282" t="str">
        <f t="shared" si="7"/>
        <v/>
      </c>
      <c r="AJ24" s="282" t="str">
        <f t="shared" si="7"/>
        <v/>
      </c>
      <c r="AK24" s="282" t="str">
        <f t="shared" si="7"/>
        <v/>
      </c>
      <c r="AL24" s="1454" t="s">
        <v>5520</v>
      </c>
      <c r="AM24" s="1443" t="s">
        <v>5521</v>
      </c>
      <c r="AO24" s="9"/>
      <c r="AP24" s="9"/>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7"/>
      <c r="G25" s="2277"/>
      <c r="I25" s="286" t="s">
        <v>337</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5522</v>
      </c>
      <c r="AM25" s="1443" t="s">
        <v>5523</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7"/>
      <c r="G26" s="2277"/>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5524</v>
      </c>
      <c r="AM26" s="1443" t="s">
        <v>5525</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7"/>
      <c r="G27" s="2277"/>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5526</v>
      </c>
      <c r="AM27" s="1443" t="s">
        <v>5527</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5528</v>
      </c>
      <c r="AM28" s="1443" t="s">
        <v>5529</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5530</v>
      </c>
      <c r="AM29" s="1443" t="s">
        <v>5531</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5532</v>
      </c>
      <c r="AM30" s="1443" t="s">
        <v>5533</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5534</v>
      </c>
      <c r="AM31" s="1443" t="s">
        <v>5535</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5536</v>
      </c>
      <c r="AM32" s="1443" t="s">
        <v>5537</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5538</v>
      </c>
      <c r="AM33" s="1443" t="s">
        <v>5539</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5540</v>
      </c>
      <c r="AM34" s="1443" t="s">
        <v>5541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5542</v>
      </c>
      <c r="AM35" s="1443" t="s">
        <v>5543</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5544</v>
      </c>
      <c r="AM36" s="1443" t="s">
        <v>5545</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5546</v>
      </c>
      <c r="AM37" s="1443" t="s">
        <v>5547</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5548</v>
      </c>
      <c r="AM38" s="1443" t="s">
        <v>5549</v>
      </c>
    </row>
    <row r="39" spans="2:39" s="9" customFormat="1" ht="14.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5">
      <c r="B40" s="282" t="s">
        <v>351</v>
      </c>
      <c r="C40" s="341"/>
      <c r="D40" s="287" t="s">
        <v>188</v>
      </c>
      <c r="E40" s="287">
        <v>0</v>
      </c>
      <c r="F40" s="338"/>
      <c r="G40" s="2303">
        <f>IFERROR((COUNTIF($G$9:$G$38,"Yes")/(COUNTA($G$9:$G$38) - COUNTIF($G$9:$G$38,"-")))*100,"")</f>
        <v>63.636363636363633</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5550</v>
      </c>
    </row>
    <row r="41" spans="2:39" s="9" customFormat="1" ht="14.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5">
      <c r="K43" s="1345"/>
      <c r="L43" s="1345"/>
    </row>
    <row r="44" spans="2:39" ht="14.5">
      <c r="B44" s="1802" t="s">
        <v>193</v>
      </c>
      <c r="K44" s="1345"/>
      <c r="L44" s="1345"/>
    </row>
    <row r="45" spans="2:39" ht="14.5" thickBot="1">
      <c r="B45" s="363"/>
    </row>
    <row r="46" spans="2:39" ht="14.5" thickBot="1">
      <c r="B46" s="2171" t="s">
        <v>194</v>
      </c>
    </row>
    <row r="47" spans="2:39"/>
    <row r="48" spans="2:39">
      <c r="B48" s="1803" t="s">
        <v>195</v>
      </c>
    </row>
    <row r="49" spans="2:2"/>
    <row r="50" spans="2:2">
      <c r="B50" s="1804" t="s">
        <v>196</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dditionalinfo xmlns="3c0c5d45-c50a-4fcf-bef2-99bd0e8843f7" xsi:nil="true"/>
    <TaxCatchAll xmlns="c06bccfe-9511-4905-847e-1faf32be5bb6" xsi:nil="true"/>
    <Comments xmlns="3c0c5d45-c50a-4fcf-bef2-99bd0e8843f7" xsi:nil="true"/>
    <AdditionalInfo0 xmlns="3c0c5d45-c50a-4fcf-bef2-99bd0e8843f7" xsi:nil="true"/>
    <lcf76f155ced4ddcb4097134ff3c332f xmlns="3c0c5d45-c50a-4fcf-bef2-99bd0e8843f7">
      <Terms xmlns="http://schemas.microsoft.com/office/infopath/2007/PartnerControls"/>
    </lcf76f155ced4ddcb4097134ff3c332f>
    <Company xmlns="3c0c5d45-c50a-4fcf-bef2-99bd0e8843f7" xsi:nil="true"/>
    <Status xmlns="3c0c5d45-c50a-4fcf-bef2-99bd0e8843f7" xsi:nil="true"/>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9E8DA3-3517-45B5-8E02-6FFC5BAD52D1}">
  <ds:schemaRefs>
    <ds:schemaRef ds:uri="http://schemas.microsoft.com/sharepoint/v3/contenttype/forms"/>
  </ds:schemaRefs>
</ds:datastoreItem>
</file>

<file path=customXml/itemProps2.xml><?xml version="1.0" encoding="utf-8"?>
<ds:datastoreItem xmlns:ds="http://schemas.openxmlformats.org/officeDocument/2006/customXml" ds:itemID="{CCB888BA-A001-4EF3-9425-63E1D98C5FB1}">
  <ds:schemaRefs>
    <ds:schemaRef ds:uri="http://purl.org/dc/elements/1.1/"/>
    <ds:schemaRef ds:uri="http://schemas.microsoft.com/office/2006/metadata/properties"/>
    <ds:schemaRef ds:uri="c06bccfe-9511-4905-847e-1faf32be5bb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c0c5d45-c50a-4fcf-bef2-99bd0e8843f7"/>
    <ds:schemaRef ds:uri="http://www.w3.org/XML/1998/namespace"/>
    <ds:schemaRef ds:uri="http://purl.org/dc/dcmitype/"/>
  </ds:schemaRefs>
</ds:datastoreItem>
</file>

<file path=customXml/itemProps3.xml><?xml version="1.0" encoding="utf-8"?>
<ds:datastoreItem xmlns:ds="http://schemas.openxmlformats.org/officeDocument/2006/customXml" ds:itemID="{53990BA5-118B-4EA5-AECF-E78BD70510C0}"/>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2025-05-20T13:55:18Z</dcterms:created>
  <dcterms:modified xsi:type="dcterms:W3CDTF">2026-02-11T11:43:28Z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0x010100D4C60D2B40AD624EAF8C6F9BEE04A4DA</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y fmtid="{D5CDD505-2E9C-101B-9397-08002B2CF9AE}" pid="14" name="MSIP_Label_20ad2324-fd97-41a5-8822-ae85afc1f7c6_Enabled">
    <vt:lpwstr>true</vt:lpwstr>
  </property>
  <property fmtid="{D5CDD505-2E9C-101B-9397-08002B2CF9AE}" pid="15" name="MSIP_Label_20ad2324-fd97-41a5-8822-ae85afc1f7c6_SetDate">
    <vt:lpwstr>2025-07-21T14:30:18Z</vt:lpwstr>
  </property>
  <property fmtid="{D5CDD505-2E9C-101B-9397-08002B2CF9AE}" pid="16" name="MSIP_Label_20ad2324-fd97-41a5-8822-ae85afc1f7c6_Method">
    <vt:lpwstr>Standard</vt:lpwstr>
  </property>
  <property fmtid="{D5CDD505-2E9C-101B-9397-08002B2CF9AE}" pid="17" name="MSIP_Label_20ad2324-fd97-41a5-8822-ae85afc1f7c6_Name">
    <vt:lpwstr>Business_Sublabel</vt:lpwstr>
  </property>
  <property fmtid="{D5CDD505-2E9C-101B-9397-08002B2CF9AE}" pid="18" name="MSIP_Label_20ad2324-fd97-41a5-8822-ae85afc1f7c6_SiteId">
    <vt:lpwstr>25d26f64-e150-4587-8705-aefeb42a308c</vt:lpwstr>
  </property>
  <property fmtid="{D5CDD505-2E9C-101B-9397-08002B2CF9AE}" pid="19" name="MSIP_Label_20ad2324-fd97-41a5-8822-ae85afc1f7c6_ActionId">
    <vt:lpwstr>7563b5f2-ea66-4814-90ae-29f8e22d1e90</vt:lpwstr>
  </property>
  <property fmtid="{D5CDD505-2E9C-101B-9397-08002B2CF9AE}" pid="20" name="MSIP_Label_20ad2324-fd97-41a5-8822-ae85afc1f7c6_ContentBits">
    <vt:lpwstr>2</vt:lpwstr>
  </property>
</Properties>
</file>